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oimspp-my.sharepoint.com/personal/kmurray_blm_gov/Documents/Desktop/"/>
    </mc:Choice>
  </mc:AlternateContent>
  <xr:revisionPtr revIDLastSave="0" documentId="8_{AB4E76CF-A6DA-44C0-A587-395A9095C2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put" sheetId="1" r:id="rId1"/>
    <sheet name="Continuation" sheetId="3" r:id="rId2"/>
    <sheet name="Calculations" sheetId="2" r:id="rId3"/>
    <sheet name="Rental Rates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2" l="1"/>
  <c r="H57" i="2"/>
  <c r="H56" i="2"/>
  <c r="H55" i="2"/>
  <c r="I54" i="2"/>
  <c r="H54" i="2"/>
  <c r="G54" i="2"/>
  <c r="I53" i="2"/>
  <c r="H53" i="2"/>
  <c r="G53" i="2"/>
  <c r="I52" i="2"/>
  <c r="G52" i="2"/>
  <c r="I51" i="2"/>
  <c r="I48" i="2"/>
  <c r="G48" i="2"/>
  <c r="H47" i="2"/>
  <c r="I49" i="2"/>
  <c r="I50" i="2"/>
  <c r="I55" i="2"/>
  <c r="I56" i="2"/>
  <c r="I57" i="2"/>
  <c r="I58" i="2"/>
  <c r="I59" i="2"/>
  <c r="I47" i="2"/>
  <c r="H48" i="2"/>
  <c r="H49" i="2"/>
  <c r="H50" i="2"/>
  <c r="H51" i="2"/>
  <c r="H52" i="2"/>
  <c r="H58" i="2"/>
  <c r="G49" i="2"/>
  <c r="G50" i="2"/>
  <c r="G51" i="2"/>
  <c r="G55" i="2"/>
  <c r="G56" i="2"/>
  <c r="G57" i="2"/>
  <c r="G58" i="2"/>
  <c r="G59" i="2"/>
  <c r="G47" i="2"/>
  <c r="B102" i="2"/>
  <c r="H216" i="2" l="1"/>
  <c r="E70" i="2"/>
  <c r="H6" i="4" l="1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I5" i="4"/>
  <c r="H5" i="4"/>
  <c r="G6" i="4"/>
  <c r="G7" i="4"/>
  <c r="G8" i="4"/>
  <c r="G9" i="4"/>
  <c r="G10" i="4"/>
  <c r="G11" i="4"/>
  <c r="G12" i="4"/>
  <c r="G13" i="4"/>
  <c r="G14" i="4"/>
  <c r="G15" i="4"/>
  <c r="G16" i="4"/>
  <c r="G17" i="4"/>
  <c r="G5" i="4"/>
  <c r="K142" i="3" l="1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J127" i="3"/>
  <c r="H127" i="3"/>
  <c r="F127" i="3"/>
  <c r="D127" i="3"/>
  <c r="H126" i="3"/>
  <c r="F126" i="3"/>
  <c r="D126" i="3"/>
  <c r="K126" i="3" s="1"/>
  <c r="K125" i="3"/>
  <c r="H125" i="3"/>
  <c r="F125" i="3"/>
  <c r="D125" i="3"/>
  <c r="J125" i="3" s="1"/>
  <c r="H124" i="3"/>
  <c r="F124" i="3"/>
  <c r="J124" i="3" s="1"/>
  <c r="D124" i="3"/>
  <c r="J123" i="3"/>
  <c r="H123" i="3"/>
  <c r="K123" i="3" s="1"/>
  <c r="F123" i="3"/>
  <c r="D123" i="3"/>
  <c r="H122" i="3"/>
  <c r="F122" i="3"/>
  <c r="D122" i="3"/>
  <c r="K122" i="3" s="1"/>
  <c r="K121" i="3"/>
  <c r="H121" i="3"/>
  <c r="F121" i="3"/>
  <c r="D121" i="3"/>
  <c r="J121" i="3" s="1"/>
  <c r="H120" i="3"/>
  <c r="F120" i="3"/>
  <c r="D120" i="3"/>
  <c r="H119" i="3"/>
  <c r="F119" i="3"/>
  <c r="D119" i="3"/>
  <c r="H118" i="3"/>
  <c r="F118" i="3"/>
  <c r="D118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H98" i="3"/>
  <c r="F98" i="3"/>
  <c r="D98" i="3"/>
  <c r="H97" i="3"/>
  <c r="F97" i="3"/>
  <c r="J97" i="3" s="1"/>
  <c r="D97" i="3"/>
  <c r="J96" i="3"/>
  <c r="H96" i="3"/>
  <c r="F96" i="3"/>
  <c r="D96" i="3"/>
  <c r="K96" i="3" s="1"/>
  <c r="H95" i="3"/>
  <c r="F95" i="3"/>
  <c r="D95" i="3"/>
  <c r="K95" i="3" s="1"/>
  <c r="H94" i="3"/>
  <c r="F94" i="3"/>
  <c r="D94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H42" i="3"/>
  <c r="F42" i="3"/>
  <c r="D42" i="3"/>
  <c r="K41" i="3"/>
  <c r="H41" i="3"/>
  <c r="J41" i="3" s="1"/>
  <c r="F41" i="3"/>
  <c r="D41" i="3"/>
  <c r="H40" i="3"/>
  <c r="F40" i="3"/>
  <c r="D40" i="3"/>
  <c r="J35" i="3"/>
  <c r="J34" i="3"/>
  <c r="J33" i="3"/>
  <c r="J32" i="3"/>
  <c r="J31" i="3"/>
  <c r="J30" i="3"/>
  <c r="J29" i="3"/>
  <c r="J28" i="3"/>
  <c r="F28" i="3"/>
  <c r="D28" i="3"/>
  <c r="F27" i="3"/>
  <c r="D27" i="3"/>
  <c r="F26" i="3"/>
  <c r="D26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H9" i="3"/>
  <c r="F9" i="3"/>
  <c r="D9" i="3"/>
  <c r="J9" i="3" s="1"/>
  <c r="H8" i="3"/>
  <c r="F8" i="3"/>
  <c r="J8" i="3" s="1"/>
  <c r="D8" i="3"/>
  <c r="H7" i="3"/>
  <c r="F7" i="3"/>
  <c r="D7" i="3"/>
  <c r="D411" i="2"/>
  <c r="C377" i="2"/>
  <c r="C371" i="2"/>
  <c r="H371" i="2" s="1"/>
  <c r="C370" i="2"/>
  <c r="F368" i="2"/>
  <c r="H369" i="2" s="1"/>
  <c r="C364" i="2"/>
  <c r="F363" i="2"/>
  <c r="G363" i="2" s="1"/>
  <c r="C360" i="2"/>
  <c r="C359" i="2"/>
  <c r="F358" i="2"/>
  <c r="H358" i="2" s="1"/>
  <c r="F355" i="2"/>
  <c r="H355" i="2" s="1"/>
  <c r="C355" i="2"/>
  <c r="C352" i="2"/>
  <c r="C351" i="2"/>
  <c r="F350" i="2"/>
  <c r="F347" i="2"/>
  <c r="C347" i="2"/>
  <c r="C344" i="2"/>
  <c r="H344" i="2" s="1"/>
  <c r="C343" i="2"/>
  <c r="F342" i="2"/>
  <c r="C339" i="2"/>
  <c r="C338" i="2"/>
  <c r="F337" i="2"/>
  <c r="H337" i="2" s="1"/>
  <c r="C334" i="2"/>
  <c r="C333" i="2"/>
  <c r="C332" i="2"/>
  <c r="G328" i="2"/>
  <c r="F328" i="2"/>
  <c r="C324" i="2"/>
  <c r="F321" i="2"/>
  <c r="F320" i="2"/>
  <c r="F319" i="2"/>
  <c r="F318" i="2"/>
  <c r="F317" i="2"/>
  <c r="F316" i="2"/>
  <c r="F315" i="2"/>
  <c r="H324" i="2" s="1"/>
  <c r="C312" i="2"/>
  <c r="C311" i="2"/>
  <c r="F309" i="2"/>
  <c r="F312" i="2" s="1"/>
  <c r="C306" i="2"/>
  <c r="C305" i="2"/>
  <c r="F301" i="2"/>
  <c r="F304" i="2" s="1"/>
  <c r="B300" i="2"/>
  <c r="H296" i="2"/>
  <c r="H295" i="2"/>
  <c r="E294" i="2"/>
  <c r="H294" i="2" s="1"/>
  <c r="F293" i="2"/>
  <c r="H293" i="2" s="1"/>
  <c r="E292" i="2"/>
  <c r="H292" i="2" s="1"/>
  <c r="C289" i="2"/>
  <c r="C288" i="2"/>
  <c r="F283" i="2"/>
  <c r="E283" i="2"/>
  <c r="G281" i="2"/>
  <c r="F281" i="2"/>
  <c r="E281" i="2"/>
  <c r="F278" i="2"/>
  <c r="E278" i="2"/>
  <c r="G276" i="2"/>
  <c r="F276" i="2"/>
  <c r="E276" i="2"/>
  <c r="G278" i="2" s="1"/>
  <c r="F273" i="2"/>
  <c r="E273" i="2"/>
  <c r="G271" i="2"/>
  <c r="F271" i="2"/>
  <c r="E271" i="2"/>
  <c r="F265" i="2"/>
  <c r="E265" i="2"/>
  <c r="G263" i="2"/>
  <c r="F263" i="2"/>
  <c r="E263" i="2"/>
  <c r="B262" i="2"/>
  <c r="C260" i="2"/>
  <c r="C259" i="2"/>
  <c r="F256" i="2"/>
  <c r="F257" i="2" s="1"/>
  <c r="H257" i="2" s="1"/>
  <c r="B255" i="2"/>
  <c r="C253" i="2"/>
  <c r="C252" i="2"/>
  <c r="F249" i="2"/>
  <c r="H249" i="2" s="1"/>
  <c r="F243" i="2"/>
  <c r="H243" i="2" s="1"/>
  <c r="F241" i="2"/>
  <c r="H241" i="2" s="1"/>
  <c r="B241" i="2"/>
  <c r="F239" i="2"/>
  <c r="H239" i="2" s="1"/>
  <c r="B239" i="2"/>
  <c r="F236" i="2"/>
  <c r="C236" i="2"/>
  <c r="C235" i="2"/>
  <c r="F232" i="2"/>
  <c r="C232" i="2"/>
  <c r="C231" i="2"/>
  <c r="C227" i="2"/>
  <c r="F225" i="2"/>
  <c r="H225" i="2" s="1"/>
  <c r="B224" i="2"/>
  <c r="F226" i="2" s="1"/>
  <c r="F222" i="2"/>
  <c r="H222" i="2" s="1"/>
  <c r="B222" i="2"/>
  <c r="F221" i="2"/>
  <c r="B221" i="2"/>
  <c r="H217" i="2"/>
  <c r="B387" i="2" s="1"/>
  <c r="F209" i="2"/>
  <c r="H209" i="2" s="1"/>
  <c r="B209" i="2"/>
  <c r="F208" i="2"/>
  <c r="H208" i="2" s="1"/>
  <c r="B208" i="2"/>
  <c r="F207" i="2"/>
  <c r="H207" i="2" s="1"/>
  <c r="B207" i="2"/>
  <c r="F206" i="2"/>
  <c r="H206" i="2" s="1"/>
  <c r="B206" i="2"/>
  <c r="F200" i="2"/>
  <c r="H200" i="2" s="1"/>
  <c r="B200" i="2"/>
  <c r="F199" i="2"/>
  <c r="H199" i="2" s="1"/>
  <c r="B199" i="2"/>
  <c r="F198" i="2"/>
  <c r="H198" i="2" s="1"/>
  <c r="B198" i="2"/>
  <c r="F197" i="2"/>
  <c r="H197" i="2" s="1"/>
  <c r="B197" i="2"/>
  <c r="F196" i="2"/>
  <c r="H196" i="2" s="1"/>
  <c r="B196" i="2"/>
  <c r="C187" i="2"/>
  <c r="F185" i="2"/>
  <c r="G185" i="2" s="1"/>
  <c r="H185" i="2" s="1"/>
  <c r="F184" i="2"/>
  <c r="G184" i="2" s="1"/>
  <c r="H184" i="2" s="1"/>
  <c r="F183" i="2"/>
  <c r="G183" i="2" s="1"/>
  <c r="F182" i="2"/>
  <c r="G182" i="2" s="1"/>
  <c r="F181" i="2"/>
  <c r="F190" i="2" s="1"/>
  <c r="H190" i="2" s="1"/>
  <c r="F177" i="2"/>
  <c r="B177" i="2" s="1"/>
  <c r="F176" i="2"/>
  <c r="H176" i="2" s="1"/>
  <c r="F175" i="2"/>
  <c r="H175" i="2" s="1"/>
  <c r="F174" i="2"/>
  <c r="H174" i="2" s="1"/>
  <c r="F173" i="2"/>
  <c r="B173" i="2" s="1"/>
  <c r="F172" i="2"/>
  <c r="H172" i="2" s="1"/>
  <c r="F171" i="2"/>
  <c r="H171" i="2" s="1"/>
  <c r="F170" i="2"/>
  <c r="H170" i="2" s="1"/>
  <c r="F169" i="2"/>
  <c r="B169" i="2" s="1"/>
  <c r="F168" i="2"/>
  <c r="H168" i="2" s="1"/>
  <c r="F164" i="2"/>
  <c r="H164" i="2" s="1"/>
  <c r="B164" i="2"/>
  <c r="F163" i="2"/>
  <c r="H163" i="2" s="1"/>
  <c r="B163" i="2"/>
  <c r="F162" i="2"/>
  <c r="H162" i="2" s="1"/>
  <c r="B162" i="2"/>
  <c r="F161" i="2"/>
  <c r="H161" i="2" s="1"/>
  <c r="B161" i="2"/>
  <c r="F160" i="2"/>
  <c r="H160" i="2" s="1"/>
  <c r="B160" i="2"/>
  <c r="F159" i="2"/>
  <c r="H159" i="2" s="1"/>
  <c r="B159" i="2"/>
  <c r="F158" i="2"/>
  <c r="H158" i="2" s="1"/>
  <c r="B158" i="2"/>
  <c r="F157" i="2"/>
  <c r="H157" i="2" s="1"/>
  <c r="B157" i="2"/>
  <c r="F156" i="2"/>
  <c r="H156" i="2" s="1"/>
  <c r="B156" i="2"/>
  <c r="F155" i="2"/>
  <c r="H155" i="2" s="1"/>
  <c r="B155" i="2"/>
  <c r="C143" i="2"/>
  <c r="C141" i="2"/>
  <c r="F140" i="2"/>
  <c r="H140" i="2" s="1"/>
  <c r="F137" i="2"/>
  <c r="H137" i="2" s="1"/>
  <c r="F136" i="2"/>
  <c r="H136" i="2" s="1"/>
  <c r="F135" i="2"/>
  <c r="H135" i="2" s="1"/>
  <c r="F133" i="2"/>
  <c r="H133" i="2" s="1"/>
  <c r="F132" i="2"/>
  <c r="H132" i="2" s="1"/>
  <c r="F131" i="2"/>
  <c r="H131" i="2" s="1"/>
  <c r="F127" i="2"/>
  <c r="H127" i="2" s="1"/>
  <c r="B127" i="2"/>
  <c r="F126" i="2"/>
  <c r="H126" i="2" s="1"/>
  <c r="B126" i="2"/>
  <c r="F125" i="2"/>
  <c r="H125" i="2" s="1"/>
  <c r="B125" i="2"/>
  <c r="E95" i="2"/>
  <c r="E94" i="2"/>
  <c r="E93" i="2"/>
  <c r="E92" i="2"/>
  <c r="E91" i="2"/>
  <c r="E90" i="2"/>
  <c r="E89" i="2"/>
  <c r="E88" i="2"/>
  <c r="E87" i="2"/>
  <c r="E86" i="2"/>
  <c r="E74" i="2"/>
  <c r="F74" i="2" s="1"/>
  <c r="E73" i="2"/>
  <c r="F73" i="2" s="1"/>
  <c r="G73" i="2" s="1"/>
  <c r="E72" i="2"/>
  <c r="F72" i="2" s="1"/>
  <c r="E71" i="2"/>
  <c r="F71" i="2" s="1"/>
  <c r="F70" i="2"/>
  <c r="H70" i="2" s="1"/>
  <c r="E69" i="2"/>
  <c r="F69" i="2" s="1"/>
  <c r="E68" i="2"/>
  <c r="F68" i="2" s="1"/>
  <c r="H68" i="2" s="1"/>
  <c r="E67" i="2"/>
  <c r="F67" i="2" s="1"/>
  <c r="E66" i="2"/>
  <c r="E75" i="2" s="1"/>
  <c r="F75" i="2" s="1"/>
  <c r="E65" i="2"/>
  <c r="F65" i="2" s="1"/>
  <c r="E64" i="2"/>
  <c r="F64" i="2" s="1"/>
  <c r="H64" i="2" s="1"/>
  <c r="F63" i="2"/>
  <c r="G63" i="2" s="1"/>
  <c r="J119" i="3" l="1"/>
  <c r="J27" i="3"/>
  <c r="J7" i="3"/>
  <c r="H191" i="2"/>
  <c r="H215" i="2"/>
  <c r="H232" i="2"/>
  <c r="D412" i="2" s="1"/>
  <c r="H236" i="2"/>
  <c r="D413" i="2" s="1"/>
  <c r="H334" i="2"/>
  <c r="C188" i="2"/>
  <c r="H338" i="2"/>
  <c r="H339" i="2"/>
  <c r="H330" i="2"/>
  <c r="J387" i="2"/>
  <c r="K387" i="2"/>
  <c r="K40" i="3"/>
  <c r="J26" i="3"/>
  <c r="K7" i="3"/>
  <c r="K22" i="3" s="1"/>
  <c r="B145" i="2" s="1"/>
  <c r="H359" i="2"/>
  <c r="H360" i="2"/>
  <c r="F143" i="2"/>
  <c r="H141" i="2" s="1"/>
  <c r="G64" i="2"/>
  <c r="I64" i="2" s="1"/>
  <c r="B170" i="2"/>
  <c r="F310" i="2"/>
  <c r="H310" i="2" s="1"/>
  <c r="F305" i="2"/>
  <c r="H305" i="2" s="1"/>
  <c r="H347" i="2"/>
  <c r="G265" i="2"/>
  <c r="H267" i="2" s="1"/>
  <c r="B399" i="2" s="1"/>
  <c r="H329" i="2"/>
  <c r="P268" i="2"/>
  <c r="H74" i="2"/>
  <c r="G74" i="2"/>
  <c r="H65" i="2"/>
  <c r="G65" i="2"/>
  <c r="G72" i="2"/>
  <c r="H72" i="2"/>
  <c r="H69" i="2"/>
  <c r="G69" i="2"/>
  <c r="I69" i="2" s="1"/>
  <c r="F66" i="2"/>
  <c r="H66" i="2" s="1"/>
  <c r="B172" i="2"/>
  <c r="G68" i="2"/>
  <c r="I68" i="2" s="1"/>
  <c r="B168" i="2"/>
  <c r="B174" i="2"/>
  <c r="H297" i="2"/>
  <c r="H298" i="2" s="1"/>
  <c r="G283" i="2"/>
  <c r="H284" i="2" s="1"/>
  <c r="H63" i="2"/>
  <c r="I63" i="2" s="1"/>
  <c r="F165" i="2"/>
  <c r="B175" i="2"/>
  <c r="H210" i="2"/>
  <c r="H304" i="2"/>
  <c r="H128" i="2"/>
  <c r="H201" i="2"/>
  <c r="G70" i="2"/>
  <c r="H248" i="2"/>
  <c r="B397" i="2" s="1"/>
  <c r="B171" i="2"/>
  <c r="H177" i="2"/>
  <c r="H343" i="2"/>
  <c r="K118" i="3"/>
  <c r="J94" i="3"/>
  <c r="K94" i="3"/>
  <c r="G181" i="2"/>
  <c r="H181" i="2" s="1"/>
  <c r="C387" i="2"/>
  <c r="D387" i="2" s="1"/>
  <c r="H71" i="2"/>
  <c r="G71" i="2"/>
  <c r="I71" i="2" s="1"/>
  <c r="H363" i="2"/>
  <c r="H365" i="2"/>
  <c r="H364" i="2"/>
  <c r="G67" i="2"/>
  <c r="H67" i="2"/>
  <c r="H75" i="2"/>
  <c r="G75" i="2"/>
  <c r="I75" i="2" s="1"/>
  <c r="H138" i="2"/>
  <c r="H250" i="2"/>
  <c r="H278" i="2"/>
  <c r="F288" i="2"/>
  <c r="D405" i="2"/>
  <c r="F210" i="2"/>
  <c r="H342" i="2"/>
  <c r="H352" i="2"/>
  <c r="H350" i="2"/>
  <c r="H226" i="2"/>
  <c r="F228" i="2"/>
  <c r="H228" i="2" s="1"/>
  <c r="H221" i="2"/>
  <c r="F220" i="2"/>
  <c r="H220" i="2" s="1"/>
  <c r="H331" i="2"/>
  <c r="H351" i="2"/>
  <c r="H370" i="2"/>
  <c r="K97" i="3"/>
  <c r="K124" i="3"/>
  <c r="H73" i="2"/>
  <c r="I73" i="2" s="1"/>
  <c r="H169" i="2"/>
  <c r="B176" i="2"/>
  <c r="F227" i="2"/>
  <c r="H227" i="2" s="1"/>
  <c r="B393" i="2" s="1"/>
  <c r="H256" i="2"/>
  <c r="H301" i="2"/>
  <c r="H368" i="2"/>
  <c r="K8" i="3"/>
  <c r="K120" i="3"/>
  <c r="J120" i="3"/>
  <c r="H165" i="2"/>
  <c r="F193" i="2"/>
  <c r="H194" i="2" s="1"/>
  <c r="G273" i="2"/>
  <c r="H273" i="2" s="1"/>
  <c r="F302" i="2"/>
  <c r="H302" i="2" s="1"/>
  <c r="F306" i="2"/>
  <c r="H306" i="2" s="1"/>
  <c r="H312" i="2"/>
  <c r="H323" i="2"/>
  <c r="H332" i="2"/>
  <c r="J95" i="3"/>
  <c r="J118" i="3"/>
  <c r="J122" i="3"/>
  <c r="J126" i="3"/>
  <c r="H173" i="2"/>
  <c r="H182" i="2"/>
  <c r="F245" i="2"/>
  <c r="F303" i="2"/>
  <c r="H303" i="2" s="1"/>
  <c r="J40" i="3"/>
  <c r="K42" i="3"/>
  <c r="J42" i="3"/>
  <c r="I70" i="2"/>
  <c r="H183" i="2"/>
  <c r="F259" i="2"/>
  <c r="F311" i="2"/>
  <c r="H311" i="2" s="1"/>
  <c r="H309" i="2"/>
  <c r="F322" i="2"/>
  <c r="H325" i="2" s="1"/>
  <c r="H333" i="2"/>
  <c r="J98" i="3"/>
  <c r="K119" i="3"/>
  <c r="K127" i="3"/>
  <c r="J22" i="3"/>
  <c r="I72" i="2" l="1"/>
  <c r="J36" i="3"/>
  <c r="B149" i="2" s="1"/>
  <c r="J399" i="2"/>
  <c r="K399" i="2"/>
  <c r="G288" i="2"/>
  <c r="H289" i="2" s="1"/>
  <c r="H283" i="2"/>
  <c r="K397" i="2"/>
  <c r="J397" i="2"/>
  <c r="C397" i="2"/>
  <c r="D397" i="2" s="1"/>
  <c r="E397" i="2" s="1"/>
  <c r="K393" i="2"/>
  <c r="J393" i="2"/>
  <c r="K114" i="3"/>
  <c r="B203" i="2" s="1"/>
  <c r="I74" i="2"/>
  <c r="H143" i="2"/>
  <c r="K90" i="3"/>
  <c r="B152" i="2" s="1"/>
  <c r="H268" i="2"/>
  <c r="H266" i="2"/>
  <c r="B398" i="2" s="1"/>
  <c r="I65" i="2"/>
  <c r="H178" i="2"/>
  <c r="I67" i="2"/>
  <c r="G66" i="2"/>
  <c r="I66" i="2" s="1"/>
  <c r="H285" i="2"/>
  <c r="B389" i="2"/>
  <c r="H186" i="2"/>
  <c r="H187" i="2"/>
  <c r="K143" i="3"/>
  <c r="B212" i="2" s="1"/>
  <c r="J114" i="3"/>
  <c r="F203" i="2" s="1"/>
  <c r="H203" i="2" s="1"/>
  <c r="E387" i="2"/>
  <c r="H387" i="2"/>
  <c r="G387" i="2"/>
  <c r="F387" i="2"/>
  <c r="E288" i="2"/>
  <c r="J143" i="3"/>
  <c r="F212" i="2" s="1"/>
  <c r="H212" i="2" s="1"/>
  <c r="H193" i="2"/>
  <c r="C399" i="2"/>
  <c r="D399" i="2" s="1"/>
  <c r="H259" i="2"/>
  <c r="F260" i="2"/>
  <c r="H260" i="2" s="1"/>
  <c r="C393" i="2"/>
  <c r="D393" i="2" s="1"/>
  <c r="F246" i="2"/>
  <c r="H245" i="2"/>
  <c r="D406" i="2"/>
  <c r="F146" i="2"/>
  <c r="H146" i="2" s="1"/>
  <c r="F147" i="2"/>
  <c r="H147" i="2" s="1"/>
  <c r="D410" i="2"/>
  <c r="H286" i="2"/>
  <c r="B394" i="2" s="1"/>
  <c r="J90" i="3"/>
  <c r="F152" i="2" s="1"/>
  <c r="H152" i="2" s="1"/>
  <c r="B392" i="2" s="1"/>
  <c r="H288" i="2" l="1"/>
  <c r="C389" i="2"/>
  <c r="D389" i="2" s="1"/>
  <c r="F389" i="2" s="1"/>
  <c r="K389" i="2"/>
  <c r="J389" i="2"/>
  <c r="J394" i="2"/>
  <c r="K394" i="2"/>
  <c r="C398" i="2"/>
  <c r="D398" i="2" s="1"/>
  <c r="G398" i="2" s="1"/>
  <c r="K398" i="2"/>
  <c r="J398" i="2"/>
  <c r="F397" i="2"/>
  <c r="G397" i="2"/>
  <c r="H397" i="2"/>
  <c r="K392" i="2"/>
  <c r="J392" i="2"/>
  <c r="F374" i="2"/>
  <c r="H374" i="2" s="1"/>
  <c r="E399" i="2"/>
  <c r="G399" i="2"/>
  <c r="H399" i="2"/>
  <c r="F399" i="2"/>
  <c r="H148" i="2"/>
  <c r="B388" i="2" s="1"/>
  <c r="G393" i="2"/>
  <c r="F393" i="2"/>
  <c r="E393" i="2"/>
  <c r="H393" i="2"/>
  <c r="F252" i="2"/>
  <c r="H246" i="2"/>
  <c r="H247" i="2" s="1"/>
  <c r="B390" i="2" s="1"/>
  <c r="C392" i="2"/>
  <c r="D392" i="2" s="1"/>
  <c r="C394" i="2"/>
  <c r="D394" i="2" s="1"/>
  <c r="I387" i="2"/>
  <c r="L387" i="2" s="1"/>
  <c r="H398" i="2" l="1"/>
  <c r="J388" i="2"/>
  <c r="K388" i="2"/>
  <c r="G389" i="2"/>
  <c r="E389" i="2"/>
  <c r="H389" i="2"/>
  <c r="E398" i="2"/>
  <c r="F398" i="2"/>
  <c r="I397" i="2"/>
  <c r="L397" i="2" s="1"/>
  <c r="K390" i="2"/>
  <c r="J390" i="2"/>
  <c r="F376" i="2"/>
  <c r="H376" i="2" s="1"/>
  <c r="B400" i="2" s="1"/>
  <c r="C172" i="1"/>
  <c r="F375" i="2"/>
  <c r="H377" i="2" s="1"/>
  <c r="D409" i="2" s="1"/>
  <c r="F377" i="2"/>
  <c r="I393" i="2"/>
  <c r="L393" i="2" s="1"/>
  <c r="C390" i="2"/>
  <c r="D390" i="2" s="1"/>
  <c r="H394" i="2"/>
  <c r="G394" i="2"/>
  <c r="F394" i="2"/>
  <c r="E394" i="2"/>
  <c r="F392" i="2"/>
  <c r="G392" i="2"/>
  <c r="H392" i="2"/>
  <c r="E392" i="2"/>
  <c r="I399" i="2"/>
  <c r="L399" i="2" s="1"/>
  <c r="B391" i="2"/>
  <c r="C388" i="2"/>
  <c r="D388" i="2" s="1"/>
  <c r="H252" i="2"/>
  <c r="D407" i="2" s="1"/>
  <c r="F253" i="2"/>
  <c r="H253" i="2" s="1"/>
  <c r="D408" i="2" s="1"/>
  <c r="I389" i="2" l="1"/>
  <c r="L389" i="2" s="1"/>
  <c r="I398" i="2"/>
  <c r="L398" i="2" s="1"/>
  <c r="K391" i="2"/>
  <c r="J391" i="2"/>
  <c r="L400" i="2"/>
  <c r="L419" i="2"/>
  <c r="H375" i="2"/>
  <c r="B395" i="2" s="1"/>
  <c r="I394" i="2"/>
  <c r="L394" i="2" s="1"/>
  <c r="I392" i="2"/>
  <c r="L392" i="2" s="1"/>
  <c r="F388" i="2"/>
  <c r="H388" i="2"/>
  <c r="G388" i="2"/>
  <c r="E388" i="2"/>
  <c r="H390" i="2"/>
  <c r="G390" i="2"/>
  <c r="F390" i="2"/>
  <c r="E390" i="2"/>
  <c r="C391" i="2"/>
  <c r="C395" i="2" l="1"/>
  <c r="D395" i="2" s="1"/>
  <c r="H395" i="2" s="1"/>
  <c r="J395" i="2"/>
  <c r="K395" i="2"/>
  <c r="H380" i="2"/>
  <c r="B396" i="2" s="1"/>
  <c r="C396" i="2" s="1"/>
  <c r="I388" i="2"/>
  <c r="L388" i="2" s="1"/>
  <c r="I390" i="2"/>
  <c r="L390" i="2" s="1"/>
  <c r="D391" i="2"/>
  <c r="F395" i="2" l="1"/>
  <c r="G395" i="2"/>
  <c r="E395" i="2"/>
  <c r="D404" i="2"/>
  <c r="L414" i="2" s="1"/>
  <c r="L416" i="2" s="1"/>
  <c r="K396" i="2"/>
  <c r="J396" i="2"/>
  <c r="E391" i="2"/>
  <c r="F391" i="2"/>
  <c r="H391" i="2"/>
  <c r="G391" i="2"/>
  <c r="D396" i="2"/>
  <c r="I395" i="2" l="1"/>
  <c r="L395" i="2" s="1"/>
  <c r="I391" i="2"/>
  <c r="L391" i="2" s="1"/>
  <c r="F396" i="2"/>
  <c r="E396" i="2"/>
  <c r="H396" i="2"/>
  <c r="G396" i="2"/>
  <c r="I396" i="2" l="1"/>
  <c r="L396" i="2" l="1"/>
  <c r="L401" i="2" s="1"/>
  <c r="L417" i="2" l="1"/>
  <c r="L415" i="2"/>
  <c r="L418" i="2" l="1"/>
  <c r="L420" i="2" l="1"/>
  <c r="L421" i="2" s="1"/>
  <c r="L422" i="2" l="1"/>
  <c r="L423" i="2" s="1"/>
  <c r="L424" i="2" l="1"/>
  <c r="C1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00000000-0006-0000-0000-000001000000}">
      <text>
        <r>
          <rPr>
            <sz val="10"/>
            <color rgb="FF000000"/>
            <rFont val="Arial"/>
          </rPr>
          <t xml:space="preserve">
For cuts on one side only, use 1/2 of the road width</t>
        </r>
      </text>
    </comment>
    <comment ref="H27" authorId="0" shapeId="0" xr:uid="{00000000-0006-0000-0000-000002000000}">
      <text>
        <r>
          <rPr>
            <sz val="10"/>
            <color rgb="FF000000"/>
            <rFont val="Arial"/>
          </rPr>
          <t xml:space="preserve">If only clearing is involved, enter 0 (zero)
</t>
        </r>
      </text>
    </comment>
    <comment ref="H36" authorId="0" shapeId="0" xr:uid="{00000000-0006-0000-0000-000003000000}">
      <text>
        <r>
          <rPr>
            <sz val="10"/>
            <color rgb="FF000000"/>
            <rFont val="Arial"/>
          </rPr>
          <t>Enter maximum vertical height of dump (toe to crest)</t>
        </r>
      </text>
    </comment>
    <comment ref="H37" authorId="0" shapeId="0" xr:uid="{00000000-0006-0000-0000-000004000000}">
      <text>
        <r>
          <rPr>
            <sz val="10"/>
            <color rgb="FF000000"/>
            <rFont val="Arial"/>
          </rPr>
          <t>Enter maximum vertical height of dump (toe to crest)</t>
        </r>
      </text>
    </comment>
    <comment ref="H38" authorId="0" shapeId="0" xr:uid="{00000000-0006-0000-0000-000005000000}">
      <text>
        <r>
          <rPr>
            <sz val="10"/>
            <color rgb="FF000000"/>
            <rFont val="Arial"/>
          </rPr>
          <t>Enter maximum vertical height of dump (toe to crest)</t>
        </r>
      </text>
    </comment>
    <comment ref="H39" authorId="0" shapeId="0" xr:uid="{00000000-0006-0000-0000-000006000000}">
      <text>
        <r>
          <rPr>
            <sz val="10"/>
            <color rgb="FF000000"/>
            <rFont val="Arial"/>
          </rPr>
          <t>Enter maximum vertical height of dump (toe to crest)</t>
        </r>
      </text>
    </comment>
    <comment ref="H40" authorId="0" shapeId="0" xr:uid="{00000000-0006-0000-0000-000007000000}">
      <text>
        <r>
          <rPr>
            <sz val="10"/>
            <color rgb="FF000000"/>
            <rFont val="Arial"/>
          </rPr>
          <t>Enter maximum vertical height of dump (toe to crest)</t>
        </r>
      </text>
    </comment>
    <comment ref="H41" authorId="0" shapeId="0" xr:uid="{00000000-0006-0000-0000-000008000000}">
      <text>
        <r>
          <rPr>
            <sz val="10"/>
            <color rgb="FF000000"/>
            <rFont val="Arial"/>
          </rPr>
          <t xml:space="preserve">Enter maximum vertical height (toe to crest).
</t>
        </r>
      </text>
    </comment>
    <comment ref="H42" authorId="0" shapeId="0" xr:uid="{00000000-0006-0000-0000-000009000000}">
      <text>
        <r>
          <rPr>
            <sz val="10"/>
            <color rgb="FF000000"/>
            <rFont val="Arial"/>
          </rPr>
          <t xml:space="preserve">Enter maxium vertical height (toe to crest)
</t>
        </r>
      </text>
    </comment>
    <comment ref="H43" authorId="0" shapeId="0" xr:uid="{00000000-0006-0000-0000-00000A000000}">
      <text>
        <r>
          <rPr>
            <sz val="10"/>
            <color rgb="FF000000"/>
            <rFont val="Arial"/>
          </rPr>
          <t xml:space="preserve">Enter maxium vertical height (toe to crest)
</t>
        </r>
      </text>
    </comment>
    <comment ref="H44" authorId="0" shapeId="0" xr:uid="{00000000-0006-0000-0000-00000B000000}">
      <text>
        <r>
          <rPr>
            <sz val="10"/>
            <color rgb="FF000000"/>
            <rFont val="Arial"/>
          </rPr>
          <t xml:space="preserve">Enter maxium vertical height (toe to crest)
</t>
        </r>
      </text>
    </comment>
    <comment ref="H45" authorId="0" shapeId="0" xr:uid="{00000000-0006-0000-0000-00000C000000}">
      <text>
        <r>
          <rPr>
            <sz val="10"/>
            <color rgb="FF000000"/>
            <rFont val="Arial"/>
          </rPr>
          <t xml:space="preserve">Enter maxium vertical height (toe to crest)
</t>
        </r>
      </text>
    </comment>
    <comment ref="A58" authorId="0" shapeId="0" xr:uid="{00000000-0006-0000-0000-00000D000000}">
      <text>
        <r>
          <rPr>
            <sz val="10"/>
            <color rgb="FF000000"/>
            <rFont val="Arial"/>
          </rPr>
          <t xml:space="preserve">HC fill is hard core fill such as quartz-rich rock that will not break down in water.
</t>
        </r>
      </text>
    </comment>
    <comment ref="H73" authorId="0" shapeId="0" xr:uid="{00000000-0006-0000-0000-00000E000000}">
      <text>
        <r>
          <rPr>
            <sz val="10"/>
            <color rgb="FF000000"/>
            <rFont val="Arial"/>
          </rPr>
          <t xml:space="preserve">Enter Yes if material can not be ripped
</t>
        </r>
      </text>
    </comment>
    <comment ref="D100" authorId="0" shapeId="0" xr:uid="{00000000-0006-0000-0000-00000F000000}">
      <text>
        <r>
          <rPr>
            <sz val="10"/>
            <color rgb="FF000000"/>
            <rFont val="Arial"/>
          </rPr>
          <t xml:space="preserve">Add  total depth of all water wells together and enter here.
</t>
        </r>
      </text>
    </comment>
    <comment ref="D102" authorId="0" shapeId="0" xr:uid="{00000000-0006-0000-0000-000010000000}">
      <text>
        <r>
          <rPr>
            <sz val="10"/>
            <color rgb="FF000000"/>
            <rFont val="Arial"/>
          </rPr>
          <t xml:space="preserve">Add total length of all holes together and enter here.
</t>
        </r>
      </text>
    </comment>
    <comment ref="D116" authorId="0" shapeId="0" xr:uid="{00000000-0006-0000-0000-000011000000}">
      <text>
        <r>
          <rPr>
            <sz val="10"/>
            <color rgb="FF000000"/>
            <rFont val="Arial"/>
          </rPr>
          <t xml:space="preserve">To convert tons to cubic yards, divide number of tons by 2
</t>
        </r>
      </text>
    </comment>
    <comment ref="A121" authorId="0" shapeId="0" xr:uid="{00000000-0006-0000-0000-000012000000}">
      <text>
        <r>
          <rPr>
            <sz val="10"/>
            <color rgb="FF000000"/>
            <rFont val="Arial"/>
          </rPr>
          <t>Place an X in the appropriate construction type box at right</t>
        </r>
      </text>
    </comment>
    <comment ref="D121" authorId="0" shapeId="0" xr:uid="{00000000-0006-0000-0000-000013000000}">
      <text>
        <r>
          <rPr>
            <sz val="10"/>
            <color rgb="FF000000"/>
            <rFont val="Arial"/>
          </rPr>
          <t xml:space="preserve">Place an X in this box if the building is steel
</t>
        </r>
      </text>
    </comment>
    <comment ref="F121" authorId="0" shapeId="0" xr:uid="{00000000-0006-0000-0000-000014000000}">
      <text>
        <r>
          <rPr>
            <sz val="10"/>
            <color rgb="FF000000"/>
            <rFont val="Arial"/>
          </rPr>
          <t xml:space="preserve">Plce an X in this box if the building is block
</t>
        </r>
      </text>
    </comment>
    <comment ref="H121" authorId="0" shapeId="0" xr:uid="{00000000-0006-0000-0000-000015000000}">
      <text>
        <r>
          <rPr>
            <sz val="10"/>
            <color rgb="FF000000"/>
            <rFont val="Arial"/>
          </rPr>
          <t xml:space="preserve">Place an X in this box if the building is wood
</t>
        </r>
      </text>
    </comment>
    <comment ref="A123" authorId="0" shapeId="0" xr:uid="{00000000-0006-0000-0000-000016000000}">
      <text>
        <r>
          <rPr>
            <sz val="10"/>
            <color rgb="FF000000"/>
            <rFont val="Arial"/>
          </rPr>
          <t>Place an X in the appropriate construction type box at right</t>
        </r>
      </text>
    </comment>
    <comment ref="D123" authorId="0" shapeId="0" xr:uid="{00000000-0006-0000-0000-000017000000}">
      <text>
        <r>
          <rPr>
            <sz val="10"/>
            <color rgb="FF000000"/>
            <rFont val="Arial"/>
          </rPr>
          <t xml:space="preserve">Place an X in this box if the building is steel
</t>
        </r>
      </text>
    </comment>
    <comment ref="F123" authorId="0" shapeId="0" xr:uid="{00000000-0006-0000-0000-000018000000}">
      <text>
        <r>
          <rPr>
            <sz val="10"/>
            <color rgb="FF000000"/>
            <rFont val="Arial"/>
          </rPr>
          <t xml:space="preserve">Plce an X in this box if the building is block
</t>
        </r>
      </text>
    </comment>
    <comment ref="H123" authorId="0" shapeId="0" xr:uid="{00000000-0006-0000-0000-000019000000}">
      <text>
        <r>
          <rPr>
            <sz val="10"/>
            <color rgb="FF000000"/>
            <rFont val="Arial"/>
          </rPr>
          <t xml:space="preserve">Place an X in this box if the building is wood
</t>
        </r>
      </text>
    </comment>
    <comment ref="A125" authorId="0" shapeId="0" xr:uid="{00000000-0006-0000-0000-00001A000000}">
      <text>
        <r>
          <rPr>
            <sz val="10"/>
            <color rgb="FF000000"/>
            <rFont val="Arial"/>
          </rPr>
          <t>Place an X in the appropriate construction type box at right</t>
        </r>
      </text>
    </comment>
    <comment ref="D125" authorId="0" shapeId="0" xr:uid="{00000000-0006-0000-0000-00001B000000}">
      <text>
        <r>
          <rPr>
            <sz val="10"/>
            <color rgb="FF000000"/>
            <rFont val="Arial"/>
          </rPr>
          <t xml:space="preserve">Place an X in this box if the building is steel
</t>
        </r>
      </text>
    </comment>
    <comment ref="F125" authorId="0" shapeId="0" xr:uid="{00000000-0006-0000-0000-00001C000000}">
      <text>
        <r>
          <rPr>
            <sz val="10"/>
            <color rgb="FF000000"/>
            <rFont val="Arial"/>
          </rPr>
          <t xml:space="preserve">Plce an X in this box if the building is block
</t>
        </r>
      </text>
    </comment>
    <comment ref="H125" authorId="0" shapeId="0" xr:uid="{00000000-0006-0000-0000-00001D000000}">
      <text>
        <r>
          <rPr>
            <sz val="10"/>
            <color rgb="FF000000"/>
            <rFont val="Arial"/>
          </rPr>
          <t xml:space="preserve">Place an X in this box if the building is wood
</t>
        </r>
      </text>
    </comment>
    <comment ref="A127" authorId="0" shapeId="0" xr:uid="{00000000-0006-0000-0000-00001E000000}">
      <text>
        <r>
          <rPr>
            <sz val="10"/>
            <color rgb="FF000000"/>
            <rFont val="Arial"/>
          </rPr>
          <t>Place an X in the appropriate construction type box at right</t>
        </r>
      </text>
    </comment>
    <comment ref="D127" authorId="0" shapeId="0" xr:uid="{00000000-0006-0000-0000-00001F000000}">
      <text>
        <r>
          <rPr>
            <sz val="10"/>
            <color rgb="FF000000"/>
            <rFont val="Arial"/>
          </rPr>
          <t xml:space="preserve">Place an X in this box if the building is steel
</t>
        </r>
      </text>
    </comment>
    <comment ref="F127" authorId="0" shapeId="0" xr:uid="{00000000-0006-0000-0000-000020000000}">
      <text>
        <r>
          <rPr>
            <sz val="10"/>
            <color rgb="FF000000"/>
            <rFont val="Arial"/>
          </rPr>
          <t xml:space="preserve">Plce an X in this box if the building is block
</t>
        </r>
      </text>
    </comment>
    <comment ref="H127" authorId="0" shapeId="0" xr:uid="{00000000-0006-0000-0000-000021000000}">
      <text>
        <r>
          <rPr>
            <sz val="10"/>
            <color rgb="FF000000"/>
            <rFont val="Arial"/>
          </rPr>
          <t xml:space="preserve">Place an X in this box if the building is wood
</t>
        </r>
      </text>
    </comment>
    <comment ref="A129" authorId="0" shapeId="0" xr:uid="{00000000-0006-0000-0000-000022000000}">
      <text>
        <r>
          <rPr>
            <sz val="10"/>
            <color rgb="FF000000"/>
            <rFont val="Arial"/>
          </rPr>
          <t>Place an X in the appropriate construction type box at right</t>
        </r>
      </text>
    </comment>
    <comment ref="D129" authorId="0" shapeId="0" xr:uid="{00000000-0006-0000-0000-000023000000}">
      <text>
        <r>
          <rPr>
            <sz val="10"/>
            <color rgb="FF000000"/>
            <rFont val="Arial"/>
          </rPr>
          <t xml:space="preserve">Place an X in this box if the building is steel
</t>
        </r>
      </text>
    </comment>
    <comment ref="F129" authorId="0" shapeId="0" xr:uid="{00000000-0006-0000-0000-000024000000}">
      <text>
        <r>
          <rPr>
            <sz val="10"/>
            <color rgb="FF000000"/>
            <rFont val="Arial"/>
          </rPr>
          <t xml:space="preserve">Plce an X in this box if the building is block
</t>
        </r>
      </text>
    </comment>
    <comment ref="H129" authorId="0" shapeId="0" xr:uid="{00000000-0006-0000-0000-000025000000}">
      <text>
        <r>
          <rPr>
            <sz val="10"/>
            <color rgb="FF000000"/>
            <rFont val="Arial"/>
          </rPr>
          <t xml:space="preserve">Place an X in this box if the building is wood
</t>
        </r>
      </text>
    </comment>
    <comment ref="C171" authorId="0" shapeId="0" xr:uid="{00000000-0006-0000-0000-000026000000}">
      <text>
        <r>
          <rPr>
            <sz val="10"/>
            <color rgb="FF000000"/>
            <rFont val="Arial"/>
          </rPr>
          <t xml:space="preserve">DATA NEEDED message indicates distances to landfill and equipment rental are not filled in.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tc={B8762D82-D006-4316-BB07-55298A77F6A8}</author>
    <author>tc={D17BEE83-9117-4FAC-8561-4F9DC4B142DE}</author>
    <author>tc={37D1F315-1F86-4FEE-B3B9-A06A1FFB5DCC}</author>
    <author>tc={7D63937E-0B4A-4943-B343-7DEB832F3417}</author>
    <author>tc={6C2E7DC3-A2A5-4C01-8D19-311D8FDBD781}</author>
  </authors>
  <commentList>
    <comment ref="A55" authorId="0" shapeId="0" xr:uid="{B8762D82-D006-4316-BB07-55298A77F6A8}">
      <text>
        <t>[Threaded comment]
Your version of Excel allows you to read this threaded comment; however, any edits to it will get removed if the file is opened in a newer version of Excel. Learn more: https://go.microsoft.com/fwlink/?linkid=870924
Comment:
    Deere under 6' Rotary Tiller</t>
      </text>
    </comment>
    <comment ref="A57" authorId="1" shapeId="0" xr:uid="{D17BEE83-9117-4FAC-8561-4F9DC4B142DE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https://rentallusa.net/bis/40-lb-air-jackhammer.html</t>
      </text>
    </comment>
    <comment ref="E63" authorId="2" shapeId="0" xr:uid="{37D1F315-1F86-4FEE-B3B9-A06A1FFB5DCC}">
      <text>
        <t>[Threaded comment]
Your version of Excel allows you to read this threaded comment; however, any edits to it will get removed if the file is opened in a newer version of Excel. Learn more: https://go.microsoft.com/fwlink/?linkid=870924
Comment:
    AAA Avg Price Diesel Arizona Oct 4 2023</t>
      </text>
    </comment>
    <comment ref="A84" authorId="3" shapeId="0" xr:uid="{7D63937E-0B4A-4943-B343-7DEB832F341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 updated since 2017… I applied 25.05% inflation based on CPI data to update rates
</t>
      </text>
    </comment>
    <comment ref="A98" authorId="4" shapeId="0" xr:uid="{6C2E7DC3-A2A5-4C01-8D19-311D8FDBD78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updated since 2017.. Applied 25.05% inflation from 2017 values to Aug 2023 values.  This needs updated every PPI update!!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tc={DC4B3746-F8D3-492B-A205-26A4447B8042}</author>
    <author>tc={6213E73C-D9F4-45FF-9CF0-2E9B738614EC}</author>
  </authors>
  <commentList>
    <comment ref="A13" authorId="0" shapeId="0" xr:uid="{DC4B3746-F8D3-492B-A205-26A4447B8042}">
      <text>
        <t>[Threaded comment]
Your version of Excel allows you to read this threaded comment; however, any edits to it will get removed if the file is opened in a newer version of Excel. Learn more: https://go.microsoft.com/fwlink/?linkid=870924
Comment:
    Deere under 6' rotary tiller</t>
      </text>
    </comment>
    <comment ref="A15" authorId="1" shapeId="0" xr:uid="{6213E73C-D9F4-45FF-9CF0-2E9B738614EC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https://rentallusa.net/bis/40-lb-air-jackhammer.html</t>
      </text>
    </comment>
  </commentList>
</comments>
</file>

<file path=xl/sharedStrings.xml><?xml version="1.0" encoding="utf-8"?>
<sst xmlns="http://schemas.openxmlformats.org/spreadsheetml/2006/main" count="1824" uniqueCount="705">
  <si>
    <t>RECLAMATION BOND CALCULATION SPREADSHEET - USER INPUT SHEET</t>
  </si>
  <si>
    <t>Shafts</t>
  </si>
  <si>
    <t xml:space="preserve"> </t>
  </si>
  <si>
    <t>USER INPUT AND RECLAMATION COST TOTAL</t>
  </si>
  <si>
    <t xml:space="preserve">Please fill in the yellow cells relating to the areas to be disturbed during the operation.    </t>
  </si>
  <si>
    <t xml:space="preserve">Use the units indicated - feet (ft), square feet (sf), inches (in), cubic yards (cu yd), etc.   </t>
  </si>
  <si>
    <t>Identify structure construction type by placing an X in the appropriate cell (line 120-129).</t>
  </si>
  <si>
    <t>Leave cells that do not apply to your operation blank.</t>
  </si>
  <si>
    <t>Hover on cells with red in upper right corner to see note to user.</t>
  </si>
  <si>
    <t>Roads</t>
  </si>
  <si>
    <t>#1</t>
  </si>
  <si>
    <t>Length (ft)</t>
  </si>
  <si>
    <t>Width (ft)</t>
  </si>
  <si>
    <t>(average lengths and widths)</t>
  </si>
  <si>
    <t>#2</t>
  </si>
  <si>
    <t>#3</t>
  </si>
  <si>
    <t>Road cuts</t>
  </si>
  <si>
    <t xml:space="preserve">Depth of cut (ft) </t>
  </si>
  <si>
    <t>(ave. length, width and depth</t>
  </si>
  <si>
    <t>of cut at highwall)</t>
  </si>
  <si>
    <t>(Enter add'l cuts on Continuation page)</t>
  </si>
  <si>
    <t>Cleared areas</t>
  </si>
  <si>
    <t>(average lengths &amp; widths)</t>
  </si>
  <si>
    <t>(Enter add'l areas on Continuation page)</t>
  </si>
  <si>
    <t>Drill pads</t>
  </si>
  <si>
    <t xml:space="preserve">(average lengths, widths and </t>
  </si>
  <si>
    <t>depth of cut)</t>
  </si>
  <si>
    <t>(Enter add'l pads on Continuation page)</t>
  </si>
  <si>
    <t>Culverts</t>
  </si>
  <si>
    <t>Diameter (ft)</t>
  </si>
  <si>
    <t>Ave. depth (ft)</t>
  </si>
  <si>
    <t>(average lengths, diameter</t>
  </si>
  <si>
    <t>and depth of burial)</t>
  </si>
  <si>
    <t>Waste dumps/spoil piles</t>
  </si>
  <si>
    <t>Face height (ft)</t>
  </si>
  <si>
    <t xml:space="preserve">(average length, width and </t>
  </si>
  <si>
    <t xml:space="preserve"> height of top surface of dump)</t>
  </si>
  <si>
    <t>#4</t>
  </si>
  <si>
    <t>#5</t>
  </si>
  <si>
    <t>#6</t>
  </si>
  <si>
    <t>#7</t>
  </si>
  <si>
    <t>#8</t>
  </si>
  <si>
    <t>#9</t>
  </si>
  <si>
    <t>#10</t>
  </si>
  <si>
    <t>Depth (ft)</t>
  </si>
  <si>
    <t>(lengths and widths of shafts</t>
  </si>
  <si>
    <t>Depth of water(ft)</t>
  </si>
  <si>
    <t>at collar, water depth from bottom)</t>
  </si>
  <si>
    <t>Distance to source of HC fill</t>
  </si>
  <si>
    <t>Miles</t>
  </si>
  <si>
    <t>Entry required for shafts with water</t>
  </si>
  <si>
    <t>Large Pits (Volume &gt; 1000 cu. yd.)</t>
  </si>
  <si>
    <t>(Average lengths and widths</t>
  </si>
  <si>
    <t xml:space="preserve">at surface)  Generally deep, with </t>
  </si>
  <si>
    <t xml:space="preserve">much excavated material removed </t>
  </si>
  <si>
    <t>for processing or sale.</t>
  </si>
  <si>
    <t>Small Pits (Volume &lt;1000 cu. yd.)</t>
  </si>
  <si>
    <t xml:space="preserve">Typically shallow, most excavated </t>
  </si>
  <si>
    <t>material available to refill pit.</t>
  </si>
  <si>
    <t>(Enter add'l small pits on Continuation page)</t>
  </si>
  <si>
    <t>Highwalls</t>
  </si>
  <si>
    <t>Height (ft)</t>
  </si>
  <si>
    <t>Blasting required?</t>
  </si>
  <si>
    <t xml:space="preserve">   (average length and height)</t>
  </si>
  <si>
    <t>(Yes or No)</t>
  </si>
  <si>
    <t xml:space="preserve">Trenches                       </t>
  </si>
  <si>
    <t>(average lengths and widths</t>
  </si>
  <si>
    <t>at surface)</t>
  </si>
  <si>
    <t xml:space="preserve">  Generally shallow excavations</t>
  </si>
  <si>
    <t>with length much larger than</t>
  </si>
  <si>
    <t xml:space="preserve">width.  Excavated material is </t>
  </si>
  <si>
    <t>generally available nearby for</t>
  </si>
  <si>
    <t>refilling.</t>
  </si>
  <si>
    <t>(Enter add'l trenches on Continuation page)</t>
  </si>
  <si>
    <t>Adits</t>
  </si>
  <si>
    <t>How many?</t>
  </si>
  <si>
    <t>Water or silt ponds</t>
  </si>
  <si>
    <t>Tailings impoundment</t>
  </si>
  <si>
    <t>(average length, width, face ht.)</t>
  </si>
  <si>
    <t>Water wells</t>
  </si>
  <si>
    <t xml:space="preserve">Total depth of </t>
  </si>
  <si>
    <t xml:space="preserve">    all water wells (ft)</t>
  </si>
  <si>
    <t>Drill holes *</t>
  </si>
  <si>
    <t xml:space="preserve">Total length of </t>
  </si>
  <si>
    <t>all drill holes (ft)</t>
  </si>
  <si>
    <t>Concrete slabs</t>
  </si>
  <si>
    <t>Thickness (in)</t>
  </si>
  <si>
    <t xml:space="preserve">     Reinforced</t>
  </si>
  <si>
    <t>Concrete foundations</t>
  </si>
  <si>
    <t>Total (cu. yd.)</t>
  </si>
  <si>
    <t xml:space="preserve">Asphalt </t>
  </si>
  <si>
    <t>Total area (sf)</t>
  </si>
  <si>
    <t>Structures</t>
  </si>
  <si>
    <t>Eave height (ft)</t>
  </si>
  <si>
    <t xml:space="preserve">            Construction:</t>
  </si>
  <si>
    <t>Steel?</t>
  </si>
  <si>
    <t>Block?</t>
  </si>
  <si>
    <t>Wood?</t>
  </si>
  <si>
    <t>Wire strands</t>
  </si>
  <si>
    <t>Post spacing (ft)</t>
  </si>
  <si>
    <t>Septic tanks</t>
  </si>
  <si>
    <t>Trailers</t>
  </si>
  <si>
    <t>Tanks, empty</t>
  </si>
  <si>
    <t>Length/height (ft)</t>
  </si>
  <si>
    <t xml:space="preserve">   (Steel tanks, not drums)</t>
  </si>
  <si>
    <t>Tanks, with liquid</t>
  </si>
  <si>
    <t>Contents:</t>
  </si>
  <si>
    <t>(list number of each type)</t>
  </si>
  <si>
    <t>Water or fuel</t>
  </si>
  <si>
    <t>(Greater than 55 gal.)</t>
  </si>
  <si>
    <t>Chemicals</t>
  </si>
  <si>
    <t>Tires</t>
  </si>
  <si>
    <t>Off road</t>
  </si>
  <si>
    <t>Highway</t>
  </si>
  <si>
    <t>Chemical drums</t>
  </si>
  <si>
    <t>Fuel/oil/lube drums</t>
  </si>
  <si>
    <t>Explosives</t>
  </si>
  <si>
    <t>Lbs.</t>
  </si>
  <si>
    <t>Non-metal trash and scrap</t>
  </si>
  <si>
    <t>Cubic yards</t>
  </si>
  <si>
    <t>Recylable metal scrap</t>
  </si>
  <si>
    <t>(Crushers, conveyors,screens, steel scrap, etc.)</t>
  </si>
  <si>
    <t>Mobile equipment &amp; vehicles</t>
  </si>
  <si>
    <t>(Includes cars, trucks, dozers, etc.)</t>
  </si>
  <si>
    <t>Distance to landfill/recycler</t>
  </si>
  <si>
    <t>(Entry required)</t>
  </si>
  <si>
    <t>Distance to equipment rental</t>
  </si>
  <si>
    <t>(Place an "x" in this box if testing is required)</t>
  </si>
  <si>
    <t>Your reclamation bond is:</t>
  </si>
  <si>
    <t>Disturbed Acreage</t>
  </si>
  <si>
    <t xml:space="preserve">* All drill holes are treated the same (wet or dry).  Costs are calculated for neat cement grout tremied from bottom to top of hole to meet </t>
  </si>
  <si>
    <t>ADWR worst case closure standards.</t>
  </si>
  <si>
    <t>RECLAMATION BOND CALCULATION SPREADSHEET - CALCULATIONS SHEET (NO USER INPUT)</t>
  </si>
  <si>
    <t>Scope of Work</t>
  </si>
  <si>
    <t>Facility/feature</t>
  </si>
  <si>
    <t>Reclamation Scope</t>
  </si>
  <si>
    <t>Roads:</t>
  </si>
  <si>
    <t>Recontour and revegetate.</t>
  </si>
  <si>
    <t>Road Cuts:</t>
  </si>
  <si>
    <t>Pull excavated material back into cut, recontour, revegetate.</t>
  </si>
  <si>
    <t>Cleared areas:</t>
  </si>
  <si>
    <t>Revegetate.</t>
  </si>
  <si>
    <t>Pads:</t>
  </si>
  <si>
    <t>Push  excavated material back on to pad, recontour, revegetate.</t>
  </si>
  <si>
    <t>Culverts:</t>
  </si>
  <si>
    <t>Remove culverts, slope sides of excavation, line bottom and sides with riprap (concrete culvert assumed).</t>
  </si>
  <si>
    <t>Waste dumps/spoil piles:</t>
  </si>
  <si>
    <t xml:space="preserve">Flatten faces to 3:1.  Rip top surface.   Revegetate top and faces.  </t>
  </si>
  <si>
    <t>Shafts:</t>
  </si>
  <si>
    <t xml:space="preserve">Install timber bulkheads at horizontal openings to shaft.  Fill shaft with hardcore (HC) fill to static water level. Install </t>
  </si>
  <si>
    <t xml:space="preserve">filter layer.  Fill the remainder with general purpose fill and mound.  Place three-strand barbed wire fence </t>
  </si>
  <si>
    <t>and warning signs 25' from shaft all around.</t>
  </si>
  <si>
    <t>Large Pits:</t>
  </si>
  <si>
    <t>Pits &gt;1000 cu. yd.,  construct  6' high berms along pit rim.  Revegetate all but steep pit walls.</t>
  </si>
  <si>
    <t>Small Pits:</t>
  </si>
  <si>
    <t>Pits &lt;1000 cu. yd., fill and revegetate surface.</t>
  </si>
  <si>
    <t>Highwalls:</t>
  </si>
  <si>
    <t xml:space="preserve">If rippable, rip and push highwall into pit to form 3:1 slope.  If not rippable, drill, blast and push highwall into pit to form 3:1 slope. </t>
  </si>
  <si>
    <t>Trenches:</t>
  </si>
  <si>
    <t>Refill with adjacent spoil piles.  Cover with available soil.  Revegetate trench and spoil pile area.</t>
  </si>
  <si>
    <t>Adits:</t>
  </si>
  <si>
    <t xml:space="preserve">Place 2' wide gabion 30' inside adit.  Fill adit with general -purpose fill to within 8' of opening.  Fill last 8' with rock. </t>
  </si>
  <si>
    <t>Water or silt ponds:</t>
  </si>
  <si>
    <t xml:space="preserve">Cut liner (if any) and fold into pond.  Fill, mound and revegetate.  </t>
  </si>
  <si>
    <t>Tailings impoundments:</t>
  </si>
  <si>
    <t xml:space="preserve">Allow to dry.  Flatten slopes to 2:1.  Cap with 12" waste rock and 8" fines or soil.  Revegetate. </t>
  </si>
  <si>
    <t>Water wells:</t>
  </si>
  <si>
    <t>Closure per ADWR regulations by licensed driller.</t>
  </si>
  <si>
    <t>Drill holes:</t>
  </si>
  <si>
    <t>Cement grout tremied from bottom of hole to collar by licensed driller.</t>
  </si>
  <si>
    <t>Concrete slabs &amp; foundations:</t>
  </si>
  <si>
    <t>Break/cut  into manageable chunks and haul to an approved landfill.</t>
  </si>
  <si>
    <t>Asphalt:</t>
  </si>
  <si>
    <t>Structures, steel, large &gt;4000 cu ft:</t>
  </si>
  <si>
    <t>Disassemble, cut into manageable pieces, load and haul to recycler or landfill.</t>
  </si>
  <si>
    <t>Structures, steel, small &lt;4000cu ft:</t>
  </si>
  <si>
    <t>Demolish with loader, load and haul to recycler or landfill.</t>
  </si>
  <si>
    <t>Structures, wood and block:</t>
  </si>
  <si>
    <t>Demolish with loader, load and haul to landfill</t>
  </si>
  <si>
    <t>Fence</t>
  </si>
  <si>
    <t>Remove clips and ties, roll wire, pull posts, load and haul to landfill or recycler.</t>
  </si>
  <si>
    <t>Septic tanks:</t>
  </si>
  <si>
    <t>Pump out (by contractor), remove, haul to approved landfill, fill hole.</t>
  </si>
  <si>
    <t>Trailers:</t>
  </si>
  <si>
    <t>Prepare and haul to disposal site.</t>
  </si>
  <si>
    <t>Tanks, empty steel:</t>
  </si>
  <si>
    <t>Crush with dozer, load, haul to recycler or landfill.</t>
  </si>
  <si>
    <t>Tanks, with liquid:</t>
  </si>
  <si>
    <t>Drain (if water) or pump out and haul liquid to disposal/recycle, crush tank by dozer, haul to landfill.</t>
  </si>
  <si>
    <t>Tires:</t>
  </si>
  <si>
    <t>Load and haul to disposal site.</t>
  </si>
  <si>
    <t>Chemical drums:</t>
  </si>
  <si>
    <t>Site pick-up, transportation and disposal by licensed contractor.</t>
  </si>
  <si>
    <t>Fuel/oil/lube drums:</t>
  </si>
  <si>
    <t>Load and haul to recycler.</t>
  </si>
  <si>
    <t>Explosives:</t>
  </si>
  <si>
    <t>Debris, trash, scrap:</t>
  </si>
  <si>
    <t>Load and haul to approved landfill.</t>
  </si>
  <si>
    <t>Vehicles and mobile equipment:</t>
  </si>
  <si>
    <t>Revegetation:</t>
  </si>
  <si>
    <t>Disk and seed</t>
  </si>
  <si>
    <t xml:space="preserve">Equipment Rental Rates </t>
  </si>
  <si>
    <t xml:space="preserve">Note: Different models can be used for a particular job.  The model selected for inclusion in this spreadsheet is adequate for most jobs, not necessarily </t>
  </si>
  <si>
    <t xml:space="preserve">optimum.  </t>
  </si>
  <si>
    <t>Week</t>
  </si>
  <si>
    <t>Month</t>
  </si>
  <si>
    <t>Rates incl. tax &amp; equip protection</t>
  </si>
  <si>
    <t>Machine</t>
  </si>
  <si>
    <t>8 hrs</t>
  </si>
  <si>
    <t>40 hrs</t>
  </si>
  <si>
    <t>160 hrs</t>
  </si>
  <si>
    <t xml:space="preserve">Day </t>
  </si>
  <si>
    <t>Skid steer loader</t>
  </si>
  <si>
    <t>Cat 246D</t>
  </si>
  <si>
    <t>Excavator (including std. bucket)</t>
  </si>
  <si>
    <t>Cat 316E</t>
  </si>
  <si>
    <t>Backhoe loader</t>
  </si>
  <si>
    <t>Cat 420F (16')</t>
  </si>
  <si>
    <t>Wheel loader</t>
  </si>
  <si>
    <t>Cat 938K (3yd)</t>
  </si>
  <si>
    <t>Motor grader</t>
  </si>
  <si>
    <t>Cat 12M (12')</t>
  </si>
  <si>
    <t>Track-type tractor (dozer/ripper)</t>
  </si>
  <si>
    <t>Cat D6K2 SU</t>
  </si>
  <si>
    <t>Haul truck</t>
  </si>
  <si>
    <t>Cat 740 (40t)</t>
  </si>
  <si>
    <t>Forklift</t>
  </si>
  <si>
    <t>Cat TL642 (6500 lb)</t>
  </si>
  <si>
    <t>Farm tractor with 58" 3 point tiller</t>
  </si>
  <si>
    <t xml:space="preserve">Kubota M108 </t>
  </si>
  <si>
    <t>Water truck (Wlaker-Cat)</t>
  </si>
  <si>
    <t>4000 gal</t>
  </si>
  <si>
    <t>Compressor, hammer &amp; hose</t>
  </si>
  <si>
    <t xml:space="preserve">Truck crane </t>
  </si>
  <si>
    <t>Int'l 4200CR (18t)</t>
  </si>
  <si>
    <t>Aerial work platform</t>
  </si>
  <si>
    <t>Genie S45 (45')</t>
  </si>
  <si>
    <t>Equipment Operating Costs (Caterpillar Performance Handbook, Edition 43, where applicable)</t>
  </si>
  <si>
    <t xml:space="preserve">Equipment  </t>
  </si>
  <si>
    <t>Model</t>
  </si>
  <si>
    <t>Fuel, gal/hr</t>
  </si>
  <si>
    <t>Fuel cost/gal</t>
  </si>
  <si>
    <t>Fuel cost/hr</t>
  </si>
  <si>
    <t>Lube &amp; filters</t>
  </si>
  <si>
    <t>Tire/track</t>
  </si>
  <si>
    <t xml:space="preserve">Total </t>
  </si>
  <si>
    <t>Cat 246C</t>
  </si>
  <si>
    <t>Excavator</t>
  </si>
  <si>
    <t xml:space="preserve">Cat 316E (1yd) </t>
  </si>
  <si>
    <t>Cat 420E (16')</t>
  </si>
  <si>
    <t>Cat 938K (3 yd)</t>
  </si>
  <si>
    <t>Cat 12M2 (12')</t>
  </si>
  <si>
    <t>D6T SU</t>
  </si>
  <si>
    <t>Cat 770 (40t)</t>
  </si>
  <si>
    <t xml:space="preserve">Forklift </t>
  </si>
  <si>
    <t>Cat TL 642E</t>
  </si>
  <si>
    <t>Farm tractor with HD tiller</t>
  </si>
  <si>
    <t>John Deere 332D</t>
  </si>
  <si>
    <t>Water truck</t>
  </si>
  <si>
    <t>Kenworth 4000 gal</t>
  </si>
  <si>
    <t>Sullair 375H</t>
  </si>
  <si>
    <t>Truck crane</t>
  </si>
  <si>
    <t>NOTES:</t>
  </si>
  <si>
    <t>1.  Lube and filter cost assumed at 10% of fuel cost</t>
  </si>
  <si>
    <t xml:space="preserve">2.  Tire wear cost assumed at 16.5% of fuel cost where applicable.  Tire wear for farm tractor included in rental.  </t>
  </si>
  <si>
    <t>3.  Other machine costs (undercarriage, tires, wear parts) included in rental</t>
  </si>
  <si>
    <t>4.  Off-road fuel cost from SHERPA 11/17, $2.40/gal less 21% taxes. Price varies daily, delivery cost varies with distance from distributor.</t>
  </si>
  <si>
    <t xml:space="preserve">Rate </t>
  </si>
  <si>
    <t>Fringes</t>
  </si>
  <si>
    <t>Total</t>
  </si>
  <si>
    <t>Power equipment operator</t>
  </si>
  <si>
    <t xml:space="preserve">   Backhoe loader</t>
  </si>
  <si>
    <t xml:space="preserve">   Grader</t>
  </si>
  <si>
    <t>Loader &lt;3.5 yd, farm tractor</t>
  </si>
  <si>
    <t>Dozer</t>
  </si>
  <si>
    <t xml:space="preserve">Dump truck </t>
  </si>
  <si>
    <t xml:space="preserve">Water truck </t>
  </si>
  <si>
    <t>AZ180008 01/05/2018  AZ8</t>
  </si>
  <si>
    <t>Crane</t>
  </si>
  <si>
    <t>Ironworker</t>
  </si>
  <si>
    <t>Laborer</t>
  </si>
  <si>
    <t>Misc. Input Factors</t>
  </si>
  <si>
    <t>Cost</t>
  </si>
  <si>
    <t>Unit</t>
  </si>
  <si>
    <t>Drilling &amp; blasting (contract cost)*</t>
  </si>
  <si>
    <t>cu yd</t>
  </si>
  <si>
    <t xml:space="preserve">Commercial hauling, by legal load </t>
  </si>
  <si>
    <t>mile</t>
  </si>
  <si>
    <t>by ton</t>
  </si>
  <si>
    <t>ton mile</t>
  </si>
  <si>
    <t>by cu yd</t>
  </si>
  <si>
    <t>cu yd mile</t>
  </si>
  <si>
    <t>Heavy equipment hauling</t>
  </si>
  <si>
    <t>hr</t>
  </si>
  <si>
    <t>Hardcore (HC) fill for wet shafts</t>
  </si>
  <si>
    <t>per cu yd</t>
  </si>
  <si>
    <t>Landfill fees, common trash</t>
  </si>
  <si>
    <t>ton</t>
  </si>
  <si>
    <t>heavy equipment tires</t>
  </si>
  <si>
    <t>tire</t>
  </si>
  <si>
    <t>highway tires</t>
  </si>
  <si>
    <t>Water well abandonment</t>
  </si>
  <si>
    <t>flat fee</t>
  </si>
  <si>
    <t xml:space="preserve"> plus footage cost</t>
  </si>
  <si>
    <t>per foot</t>
  </si>
  <si>
    <t>Drillhole abandonment</t>
  </si>
  <si>
    <t>plus footage cost</t>
  </si>
  <si>
    <t>Fuel, oil, lube drum disposal</t>
  </si>
  <si>
    <t>drum</t>
  </si>
  <si>
    <t>Chemical drum disposal</t>
  </si>
  <si>
    <t>Trailer disposal</t>
  </si>
  <si>
    <t>trailer</t>
  </si>
  <si>
    <t>Water/fuel tank disposal</t>
  </si>
  <si>
    <t>tank</t>
  </si>
  <si>
    <t>Chemical tank disposal</t>
  </si>
  <si>
    <t>Explosives disposal (Clean Harbors rates)</t>
  </si>
  <si>
    <t>Vehicle &amp; mobile equipment disposal</t>
  </si>
  <si>
    <t>(value as scrap)</t>
  </si>
  <si>
    <t>Seed mix, 20#/acre (SW Desert Erosion Control Blend)</t>
  </si>
  <si>
    <t>acre</t>
  </si>
  <si>
    <t>*Minimum charge $1000 for drill and blast crew mobilization</t>
  </si>
  <si>
    <t>Operating Hours, Costs and Fees</t>
  </si>
  <si>
    <t>Facility/Feature</t>
  </si>
  <si>
    <t>Reveg.</t>
  </si>
  <si>
    <t>Production factor</t>
  </si>
  <si>
    <t>Units</t>
  </si>
  <si>
    <t>Quantities</t>
  </si>
  <si>
    <t>Totals</t>
  </si>
  <si>
    <t>Area</t>
  </si>
  <si>
    <t>linear ft.</t>
  </si>
  <si>
    <t>Recontour (Cat D6 SU)</t>
  </si>
  <si>
    <t>linear ft/hr</t>
  </si>
  <si>
    <t>Road 1</t>
  </si>
  <si>
    <t>Op. Hrs</t>
  </si>
  <si>
    <t>Road 2</t>
  </si>
  <si>
    <t>Road 3</t>
  </si>
  <si>
    <t>D6 total</t>
  </si>
  <si>
    <t>Removing culverts</t>
  </si>
  <si>
    <t>cu. yd.</t>
  </si>
  <si>
    <t>Excavation (Cat 420)</t>
  </si>
  <si>
    <t>cu yd/hr</t>
  </si>
  <si>
    <t>Culvert 1</t>
  </si>
  <si>
    <t>Culvert 2</t>
  </si>
  <si>
    <t>Culvert 3</t>
  </si>
  <si>
    <t>sq. ft.</t>
  </si>
  <si>
    <t>Rockwork (Cat 420)</t>
  </si>
  <si>
    <t>sq ft/hr</t>
  </si>
  <si>
    <t>436 Total</t>
  </si>
  <si>
    <t>Load (Cat TL642)</t>
  </si>
  <si>
    <t>lf/hr</t>
  </si>
  <si>
    <t>Forklift Total</t>
  </si>
  <si>
    <t>Haul (Commercial hauler)</t>
  </si>
  <si>
    <t xml:space="preserve">$/t mi </t>
  </si>
  <si>
    <t>tons</t>
  </si>
  <si>
    <t>$</t>
  </si>
  <si>
    <t>Landfill fee</t>
  </si>
  <si>
    <t>$/t</t>
  </si>
  <si>
    <t>Road cuts (combined total)</t>
  </si>
  <si>
    <t>Replace excavated mat'l in cut  (Cat 316)</t>
  </si>
  <si>
    <t>Recontour (Cat 316)</t>
  </si>
  <si>
    <t>sq.ft.</t>
  </si>
  <si>
    <t>315 Total</t>
  </si>
  <si>
    <t>Cleared areas (combined total)</t>
  </si>
  <si>
    <t>Drill pads (combined total)</t>
  </si>
  <si>
    <t>Push and recontour (Cat D6 SU)</t>
  </si>
  <si>
    <t>D6 Total</t>
  </si>
  <si>
    <t>Waste dumps/spoils piles</t>
  </si>
  <si>
    <t>Flatten slopes to 3:1 (Cat D6 SU)</t>
  </si>
  <si>
    <t>Dump 1</t>
  </si>
  <si>
    <t>Dump 2</t>
  </si>
  <si>
    <t>Dump 3</t>
  </si>
  <si>
    <t>Dump 4</t>
  </si>
  <si>
    <t>Dump 5</t>
  </si>
  <si>
    <t>Dump 6</t>
  </si>
  <si>
    <t>Dump 7</t>
  </si>
  <si>
    <t>Dump 8</t>
  </si>
  <si>
    <t>Dump 9</t>
  </si>
  <si>
    <t>Dump 10</t>
  </si>
  <si>
    <t>Rip dump top (Cat D6 SU)</t>
  </si>
  <si>
    <t>dry cu. yd.</t>
  </si>
  <si>
    <t>wet cu. yd..</t>
  </si>
  <si>
    <t>GP fill (Cat 938)</t>
  </si>
  <si>
    <t>Shaft 1</t>
  </si>
  <si>
    <t>HC fill (Cat 938)</t>
  </si>
  <si>
    <t>Shaft 2</t>
  </si>
  <si>
    <t>Shaft 3</t>
  </si>
  <si>
    <t>Shaft 4</t>
  </si>
  <si>
    <t>Shaft 5</t>
  </si>
  <si>
    <t>938 Total</t>
  </si>
  <si>
    <t>HC fill purchase</t>
  </si>
  <si>
    <t>$/cu yd</t>
  </si>
  <si>
    <t>HC fill hauling</t>
  </si>
  <si>
    <t>$/cu yd mi</t>
  </si>
  <si>
    <t>Incl. above</t>
  </si>
  <si>
    <t>Bulkheads (two per shaft assumed)</t>
  </si>
  <si>
    <t>number</t>
  </si>
  <si>
    <t>Timber</t>
  </si>
  <si>
    <t>$/bulkhead</t>
  </si>
  <si>
    <t>Installation labor</t>
  </si>
  <si>
    <t>mh/bulkhead</t>
  </si>
  <si>
    <t>Fencing &amp; signs</t>
  </si>
  <si>
    <t>Materials</t>
  </si>
  <si>
    <t>$total</t>
  </si>
  <si>
    <t>mh/shaft</t>
  </si>
  <si>
    <t>Large Pits &gt;1000 cy. yd. (each)</t>
  </si>
  <si>
    <t>Large pit #1</t>
  </si>
  <si>
    <t>Build 6' high berm around pit perimeter</t>
  </si>
  <si>
    <t>Large pit #2</t>
  </si>
  <si>
    <t>(Cat D6)</t>
  </si>
  <si>
    <t>Large pit #3</t>
  </si>
  <si>
    <t>Large pit #4</t>
  </si>
  <si>
    <t>Large pit #5</t>
  </si>
  <si>
    <t>Small Pits &lt;1000 cu. yd. (combined total)</t>
  </si>
  <si>
    <t>All</t>
  </si>
  <si>
    <t>Fill (Cat 938)</t>
  </si>
  <si>
    <t>HW 1</t>
  </si>
  <si>
    <t xml:space="preserve">Flatten slope to 3:1(Cat D6 with blasting if </t>
  </si>
  <si>
    <t>HW 2</t>
  </si>
  <si>
    <t>required)</t>
  </si>
  <si>
    <t xml:space="preserve">HW 3 </t>
  </si>
  <si>
    <t>HW 4</t>
  </si>
  <si>
    <t>Trenches (combined total)</t>
  </si>
  <si>
    <t>cu yd /hr</t>
  </si>
  <si>
    <t>Gabion labor</t>
  </si>
  <si>
    <t>hrs/adit</t>
  </si>
  <si>
    <t>Gabion materials</t>
  </si>
  <si>
    <t>$/adit</t>
  </si>
  <si>
    <t>cu yd/adit</t>
  </si>
  <si>
    <t>Fill (Cat 246)</t>
  </si>
  <si>
    <t>Ponds</t>
  </si>
  <si>
    <t>no/cu. yd.</t>
  </si>
  <si>
    <t>Cut and fold liner labor</t>
  </si>
  <si>
    <t>man hours</t>
  </si>
  <si>
    <t>Pond 1</t>
  </si>
  <si>
    <t>Pond 2</t>
  </si>
  <si>
    <t>Flatten slopes to 2:1 (Cat D6 SU)</t>
  </si>
  <si>
    <t>Load cover material (Cat 938)</t>
  </si>
  <si>
    <t>Haul cover material (Cat 770)</t>
  </si>
  <si>
    <t>Spread (Cat D6 SU)</t>
  </si>
  <si>
    <t>ft.</t>
  </si>
  <si>
    <t xml:space="preserve">   Fixed costs</t>
  </si>
  <si>
    <t xml:space="preserve">   Cost per foot</t>
  </si>
  <si>
    <t>Drill hole abandonment</t>
  </si>
  <si>
    <t>Fixed costs</t>
  </si>
  <si>
    <t>Fixed cost</t>
  </si>
  <si>
    <t>Cost per foot</t>
  </si>
  <si>
    <t>$/ft</t>
  </si>
  <si>
    <t>Concrete</t>
  </si>
  <si>
    <t>Break unreinforced slab (Cat 938,</t>
  </si>
  <si>
    <t xml:space="preserve">        compressor &amp; air hammer)</t>
  </si>
  <si>
    <t>Break reinforced slab (Cat 938,</t>
  </si>
  <si>
    <t>Break foundations (Cat 938,</t>
  </si>
  <si>
    <t>Pile broken concrete (Cat 938)</t>
  </si>
  <si>
    <t>Load on trucks (Cat 938)</t>
  </si>
  <si>
    <t>Op. Hrs.</t>
  </si>
  <si>
    <t xml:space="preserve">   Compressor, air hammer, hose</t>
  </si>
  <si>
    <t>Comp. Total</t>
  </si>
  <si>
    <t>Cut reinforcement labor</t>
  </si>
  <si>
    <t>Air hammer labor</t>
  </si>
  <si>
    <t>Haul (commercial  hauler)</t>
  </si>
  <si>
    <t>$/ton mi</t>
  </si>
  <si>
    <t>$/ton</t>
  </si>
  <si>
    <t>Asphalt</t>
  </si>
  <si>
    <t>Rip (D6 SU)</t>
  </si>
  <si>
    <t>cu cy/hr</t>
  </si>
  <si>
    <t>Load  (Cat 938)</t>
  </si>
  <si>
    <t>cu ft 1</t>
  </si>
  <si>
    <t>cu ft 2</t>
  </si>
  <si>
    <t>cu ft 3</t>
  </si>
  <si>
    <t>Demo large steel bldg (disassemble)</t>
  </si>
  <si>
    <t>cu ft 4</t>
  </si>
  <si>
    <t>cu ft 5</t>
  </si>
  <si>
    <t>Total 1-5</t>
  </si>
  <si>
    <t xml:space="preserve">Disassemble (Crane) </t>
  </si>
  <si>
    <t>hrs/1000 cf</t>
  </si>
  <si>
    <t>Disassemble (Manlift)</t>
  </si>
  <si>
    <t xml:space="preserve">Disassemble (Ironworker) </t>
  </si>
  <si>
    <t xml:space="preserve">    Demo small steel bldg (Cat 938)</t>
  </si>
  <si>
    <t>Demo block (Cat 938)</t>
  </si>
  <si>
    <t>Demo wood (Cat 938)</t>
  </si>
  <si>
    <t>Load block and wood (Cat 938)</t>
  </si>
  <si>
    <t>Load steel (Cat TL642)</t>
  </si>
  <si>
    <t>steel tons</t>
  </si>
  <si>
    <t>block tons</t>
  </si>
  <si>
    <t>wood tons</t>
  </si>
  <si>
    <t>Haul (Commercial  hauler)</t>
  </si>
  <si>
    <t>Landfill fee (recycle steel at no cost)</t>
  </si>
  <si>
    <t xml:space="preserve">$/t </t>
  </si>
  <si>
    <t>Fence &amp; Gates</t>
  </si>
  <si>
    <t>posts</t>
  </si>
  <si>
    <t>wire length</t>
  </si>
  <si>
    <t>Remove clips and wire ties</t>
  </si>
  <si>
    <t>min/post</t>
  </si>
  <si>
    <t>Man hrs.</t>
  </si>
  <si>
    <t>Roll wire</t>
  </si>
  <si>
    <t>min/100 ft</t>
  </si>
  <si>
    <t>Pull posts</t>
  </si>
  <si>
    <t>Load wire and posts</t>
  </si>
  <si>
    <t>min/1000 ft</t>
  </si>
  <si>
    <t>Disassemble gates, pull posts, load</t>
  </si>
  <si>
    <t>hrs/gate</t>
  </si>
  <si>
    <t>Total labor</t>
  </si>
  <si>
    <t>Haul materials to recycler</t>
  </si>
  <si>
    <t>$/mi</t>
  </si>
  <si>
    <t>no/tons</t>
  </si>
  <si>
    <t xml:space="preserve">Excavate,  fill (Cat 420) </t>
  </si>
  <si>
    <t>hrs/tank</t>
  </si>
  <si>
    <t>tanks</t>
  </si>
  <si>
    <t>Pump and dispose of sludge (flat fee)</t>
  </si>
  <si>
    <t>$/tank</t>
  </si>
  <si>
    <t>Load (Crane)</t>
  </si>
  <si>
    <t>Labor</t>
  </si>
  <si>
    <t>Prep materials</t>
  </si>
  <si>
    <t>$/trailer</t>
  </si>
  <si>
    <t>Prep labor</t>
  </si>
  <si>
    <t>hr/trailer</t>
  </si>
  <si>
    <t>Disposal fee</t>
  </si>
  <si>
    <t>Tanks, empty steel</t>
  </si>
  <si>
    <t xml:space="preserve">     Number </t>
  </si>
  <si>
    <t xml:space="preserve">     Tank 1</t>
  </si>
  <si>
    <t xml:space="preserve">     Tank 2</t>
  </si>
  <si>
    <t xml:space="preserve">     Tank 3</t>
  </si>
  <si>
    <t xml:space="preserve">     Tank 4</t>
  </si>
  <si>
    <t xml:space="preserve">     Tank 5</t>
  </si>
  <si>
    <t xml:space="preserve">     Tank 6</t>
  </si>
  <si>
    <t xml:space="preserve">     Total tons</t>
  </si>
  <si>
    <t xml:space="preserve">     Crush and load (flat fee)</t>
  </si>
  <si>
    <t xml:space="preserve">     Haul (Commercial hauler)</t>
  </si>
  <si>
    <t>$/ton mile</t>
  </si>
  <si>
    <t xml:space="preserve">     Recycle (no fee for recycling)</t>
  </si>
  <si>
    <t xml:space="preserve">Tanks (not 55 gal drums), with liquid </t>
  </si>
  <si>
    <t>water/fuel</t>
  </si>
  <si>
    <t>chemical</t>
  </si>
  <si>
    <t>Number</t>
  </si>
  <si>
    <t>Pump out or drain</t>
  </si>
  <si>
    <t>hr/tank</t>
  </si>
  <si>
    <t>Disposal  fee, fuel</t>
  </si>
  <si>
    <t>Disposal  fee, chemical</t>
  </si>
  <si>
    <t>Tires, heavy equipment</t>
  </si>
  <si>
    <t>Load (Flat fee)</t>
  </si>
  <si>
    <t>$/tire</t>
  </si>
  <si>
    <t>/mi/15 tires</t>
  </si>
  <si>
    <t>Tires, highway</t>
  </si>
  <si>
    <t>$/mi/60 tires</t>
  </si>
  <si>
    <t>Chemicals in drums/bags (Contract)</t>
  </si>
  <si>
    <t>$/drum</t>
  </si>
  <si>
    <t xml:space="preserve">$/mi/20 drums </t>
  </si>
  <si>
    <t xml:space="preserve">  </t>
  </si>
  <si>
    <t>Explosives (Contract)</t>
  </si>
  <si>
    <t>lbs.</t>
  </si>
  <si>
    <t>Load (Cat 938)</t>
  </si>
  <si>
    <t>/mile/load</t>
  </si>
  <si>
    <t>Recyclable metal scrap</t>
  </si>
  <si>
    <t>/ton mile</t>
  </si>
  <si>
    <t>Recycle (no fee for recycling)</t>
  </si>
  <si>
    <t>Mobile equipment and vehicles</t>
  </si>
  <si>
    <t xml:space="preserve">    Prep vehicle (battery, tires, fuel tank)</t>
  </si>
  <si>
    <t>hr/vehicle</t>
  </si>
  <si>
    <t xml:space="preserve">    Load (Flat fee)</t>
  </si>
  <si>
    <t>$/vehicle</t>
  </si>
  <si>
    <t xml:space="preserve">    Haul (Commercial hauler)</t>
  </si>
  <si>
    <t>/mi/load</t>
  </si>
  <si>
    <t xml:space="preserve">    Recycle (no fee for recycling)</t>
  </si>
  <si>
    <t>Revegetation</t>
  </si>
  <si>
    <t>acres</t>
  </si>
  <si>
    <t xml:space="preserve">    Grading (Cat 120)</t>
  </si>
  <si>
    <t>acre/hr</t>
  </si>
  <si>
    <t xml:space="preserve">    Disking (tractor and disk)</t>
  </si>
  <si>
    <t xml:space="preserve">    Seeding (hand broadcasting)</t>
  </si>
  <si>
    <t xml:space="preserve">    Seed</t>
  </si>
  <si>
    <t xml:space="preserve">acre </t>
  </si>
  <si>
    <t>Miscellaneous</t>
  </si>
  <si>
    <t xml:space="preserve">    Water truck</t>
  </si>
  <si>
    <t>Total Cost Calculations</t>
  </si>
  <si>
    <t>Equipment rental, operating and other direct costs</t>
  </si>
  <si>
    <t>Mob. Hrs</t>
  </si>
  <si>
    <t>Total Hrs</t>
  </si>
  <si>
    <t>&gt;1 day</t>
  </si>
  <si>
    <t>Daily</t>
  </si>
  <si>
    <t>Weekly</t>
  </si>
  <si>
    <t>Monthly</t>
  </si>
  <si>
    <t>Rental</t>
  </si>
  <si>
    <t>Fuel, etc.</t>
  </si>
  <si>
    <t>Operator</t>
  </si>
  <si>
    <t>Cat 246 skid-steer loader</t>
  </si>
  <si>
    <t>Cat 315 excavator</t>
  </si>
  <si>
    <t>Cat 420 backhoe loader</t>
  </si>
  <si>
    <t>Cat 938 wheel loader</t>
  </si>
  <si>
    <t>Cat 12 motor grader</t>
  </si>
  <si>
    <t>Cat D6 dozer</t>
  </si>
  <si>
    <t>Cat 770 haul truck</t>
  </si>
  <si>
    <t>Cat TL642 forklift</t>
  </si>
  <si>
    <t>John Deere 332 w/HD tiller</t>
  </si>
  <si>
    <t>Kenworth 4000 gal water truck</t>
  </si>
  <si>
    <t>Sullair 375 compressor, hose and hammer</t>
  </si>
  <si>
    <t>International 4200 truck crane</t>
  </si>
  <si>
    <t>Genie S45 Manlift</t>
  </si>
  <si>
    <t xml:space="preserve">Labor cost (except equip opn and flat fees) </t>
  </si>
  <si>
    <t>Total direct costs</t>
  </si>
  <si>
    <t>Subcontract &amp; materials</t>
  </si>
  <si>
    <t>Equip. mob/demob hauling</t>
  </si>
  <si>
    <t>Drilling and blasting</t>
  </si>
  <si>
    <t>Loading, etc. (flat fee)</t>
  </si>
  <si>
    <t>Misc. hauling</t>
  </si>
  <si>
    <t>Landfill fees</t>
  </si>
  <si>
    <t>Disposal fees (contract)</t>
  </si>
  <si>
    <t>HAZMAT site assessment, testing ,removal, etc.</t>
  </si>
  <si>
    <t>Water well closure</t>
  </si>
  <si>
    <t>Drill hole closure</t>
  </si>
  <si>
    <t>Subcontract &amp; materials total</t>
  </si>
  <si>
    <t>Contractor admin costs , % of direct costs</t>
  </si>
  <si>
    <t>Contractor admin costs , % of subcontract &amp; materials costs</t>
  </si>
  <si>
    <t>Contractor profit, % of direct costs</t>
  </si>
  <si>
    <t>Performance and Payment Bond  (for contracts &gt;$100,000)</t>
  </si>
  <si>
    <t>Liability, % of labor</t>
  </si>
  <si>
    <t>Contract total</t>
  </si>
  <si>
    <t>Contingency, % of contract total for projects &gt; $100,000</t>
  </si>
  <si>
    <t>BLM contract management fee, % of contract total</t>
  </si>
  <si>
    <t>BLM indirect costs, % of BLM contract management fee</t>
  </si>
  <si>
    <t>TOTAL RECLAMATION COST</t>
  </si>
  <si>
    <t>RECLAMATION BOND CALCULATION SPREADSHEET - CONTINUATION SHEET (USER INPUT ALLOWED)</t>
  </si>
  <si>
    <t>Additional User Input</t>
  </si>
  <si>
    <t>Note:  Dimensions can be added to yellow cells only.  White cells are dimensions from Input page.</t>
  </si>
  <si>
    <t>Road Cuts</t>
  </si>
  <si>
    <t>Volume</t>
  </si>
  <si>
    <t>(cu ft)</t>
  </si>
  <si>
    <t>(sq ft)</t>
  </si>
  <si>
    <t>Depth of cut (ft)</t>
  </si>
  <si>
    <t>(#1-3 from</t>
  </si>
  <si>
    <t>Input Page)</t>
  </si>
  <si>
    <t xml:space="preserve">Add'l road </t>
  </si>
  <si>
    <t>cuts</t>
  </si>
  <si>
    <t>#11</t>
  </si>
  <si>
    <t>#12</t>
  </si>
  <si>
    <t>#13</t>
  </si>
  <si>
    <t>#14</t>
  </si>
  <si>
    <t>#15</t>
  </si>
  <si>
    <t>Cleared Areas</t>
  </si>
  <si>
    <t xml:space="preserve">Add'l cleared </t>
  </si>
  <si>
    <t>areas</t>
  </si>
  <si>
    <t>Drill Pads</t>
  </si>
  <si>
    <t>Add'l pads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</si>
  <si>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</si>
  <si>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</si>
  <si>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</si>
  <si>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</si>
  <si>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</si>
  <si>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</si>
  <si>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</si>
  <si>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</si>
  <si>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</si>
  <si>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</si>
  <si>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</si>
  <si>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</si>
  <si>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</si>
  <si>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</si>
  <si>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</si>
  <si>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</si>
  <si>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</si>
  <si>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</si>
  <si>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</si>
  <si>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</si>
  <si>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</si>
  <si>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</si>
  <si>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</si>
  <si>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</si>
  <si>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</si>
  <si>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</si>
  <si>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</si>
  <si>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</si>
  <si>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</si>
  <si>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</si>
  <si>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</si>
  <si>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</si>
  <si>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</si>
  <si>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</si>
  <si>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</si>
  <si>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Small Pits</t>
  </si>
  <si>
    <t>(#1-5 from</t>
  </si>
  <si>
    <t>Add'l small</t>
  </si>
  <si>
    <t>pits</t>
  </si>
  <si>
    <t>Trenches</t>
  </si>
  <si>
    <t>(#1-10 from</t>
  </si>
  <si>
    <t xml:space="preserve">Add'l </t>
  </si>
  <si>
    <t>trenches</t>
  </si>
  <si>
    <r>
      <t xml:space="preserve">NOTE:  USE THIS SPREADSHEET ONLY IF YOUR TOTAL DISTURBANCE IS LESS THAN 20 ACRES </t>
    </r>
    <r>
      <rPr>
        <b/>
        <u/>
        <sz val="10"/>
        <rFont val="Arial"/>
        <family val="2"/>
      </rPr>
      <t>AND</t>
    </r>
    <r>
      <rPr>
        <b/>
        <sz val="10"/>
        <rFont val="Arial"/>
        <family val="2"/>
      </rPr>
      <t xml:space="preserve"> AN AQUIFER</t>
    </r>
  </si>
  <si>
    <r>
      <t xml:space="preserve">    PROTECTION PERMIT IS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REQUIRED.</t>
    </r>
  </si>
  <si>
    <r>
      <t xml:space="preserve">   </t>
    </r>
    <r>
      <rPr>
        <sz val="10"/>
        <rFont val="Arial"/>
        <family val="2"/>
      </rPr>
      <t>Unreinforced</t>
    </r>
  </si>
  <si>
    <r>
      <t xml:space="preserve">Fences </t>
    </r>
    <r>
      <rPr>
        <sz val="10"/>
        <rFont val="Arial"/>
        <family val="2"/>
      </rPr>
      <t>(add length of all together)</t>
    </r>
  </si>
  <si>
    <r>
      <t xml:space="preserve">Metal gates </t>
    </r>
    <r>
      <rPr>
        <sz val="10"/>
        <rFont val="Arial"/>
        <family val="2"/>
      </rPr>
      <t>(don't count wire gates)</t>
    </r>
  </si>
  <si>
    <r>
      <t>HAZMAT site assessment, testing</t>
    </r>
    <r>
      <rPr>
        <b/>
        <sz val="10"/>
        <rFont val="Arial"/>
        <family val="2"/>
      </rPr>
      <t xml:space="preserve"> </t>
    </r>
  </si>
  <si>
    <t>Rental rates from Equipment Watch (December 2021),</t>
  </si>
  <si>
    <t>Tax</t>
  </si>
  <si>
    <t>Equip Prot/Ins</t>
  </si>
  <si>
    <t>Equipment Rental Rates Base</t>
  </si>
  <si>
    <t>Cat D6K2</t>
  </si>
  <si>
    <t>Compressor, hammer &amp; hose (185cfm)</t>
  </si>
  <si>
    <t>Rates increased to include sales tax for Arizona and city of Phoenix (8.6%) ; and equipment protection plan/insurance (15%)</t>
  </si>
  <si>
    <t>Base rental rates before tax and fees</t>
  </si>
  <si>
    <t>185cfm, 40lb hammer</t>
  </si>
  <si>
    <t>300D Water Wagon</t>
  </si>
  <si>
    <t>Update every PPI!</t>
  </si>
  <si>
    <t>Labor Rates</t>
  </si>
  <si>
    <t>Update from Sherpa</t>
  </si>
  <si>
    <t>Revised 6 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</si>
</sst>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;;;"/>
    <numFmt numFmtId="166" formatCode="0.0"/>
    <numFmt numFmtId="167" formatCode="&quot;$&quot;#,##0.00"/>
    <numFmt numFmtId="168" formatCode="#,##0.0"/>
    <numFmt numFmtId="169" formatCode="0.0%"/>
  </numFmts>
  <fonts count="33" x14ac:knownFonts="1">
    <font>
      <sz val="10"/>
      <color rgb="FF000000"/>
      <name val="Arial"/>
    </font>
    <font>
      <sz val="18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u/>
      <sz val="12"/>
      <color theme="1"/>
      <name val="Arial"/>
    </font>
    <font>
      <b/>
      <u/>
      <sz val="12"/>
      <color theme="1"/>
      <name val="Arial"/>
    </font>
    <font>
      <u/>
      <sz val="12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b/>
      <sz val="12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b/>
      <u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</fills>
  <borders count="1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1"/>
      </bottom>
      <diagonal/>
    </border>
    <border>
      <left style="thin">
        <color rgb="FFBFBFBF"/>
      </left>
      <right style="medium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rgb="FFBFBFBF"/>
      </top>
      <bottom style="thin">
        <color rgb="FFBFBFBF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BFBFBF"/>
      </top>
      <bottom style="thin">
        <color rgb="FFBFBFBF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medium">
        <color rgb="FF000000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C0C0C0"/>
      </left>
      <right style="medium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BFBFBF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medium">
        <color rgb="FF000000"/>
      </right>
      <top/>
      <bottom style="thin">
        <color rgb="FFD8D8D8"/>
      </bottom>
      <diagonal/>
    </border>
    <border>
      <left/>
      <right style="medium">
        <color rgb="FF000000"/>
      </right>
      <top style="thin">
        <color rgb="FFD8D8D8"/>
      </top>
      <bottom style="thin">
        <color rgb="FFD8D8D8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medium">
        <color rgb="FF000000"/>
      </right>
      <top style="thin">
        <color rgb="FFD8D8D8"/>
      </top>
      <bottom style="dotted">
        <color rgb="FF000000"/>
      </bottom>
      <diagonal/>
    </border>
    <border>
      <left style="thin">
        <color rgb="FFBFBFBF"/>
      </left>
      <right style="medium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C0C0C0"/>
      </top>
      <bottom style="thin">
        <color rgb="FFBFBFBF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medium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rgb="FF000000"/>
      </bottom>
      <diagonal/>
    </border>
    <border>
      <left style="thin">
        <color rgb="FFD8D8D8"/>
      </left>
      <right/>
      <top style="thin">
        <color rgb="FFD8D8D8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hair">
        <color rgb="FFA5A5A5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3" fillId="0" borderId="0" xfId="0" applyNumberFormat="1" applyFont="1"/>
    <xf numFmtId="0" fontId="7" fillId="0" borderId="0" xfId="0" applyFont="1"/>
    <xf numFmtId="0" fontId="5" fillId="0" borderId="0" xfId="0" applyFont="1"/>
    <xf numFmtId="0" fontId="8" fillId="0" borderId="1" xfId="0" applyFont="1" applyBorder="1"/>
    <xf numFmtId="0" fontId="3" fillId="0" borderId="83" xfId="0" applyFont="1" applyBorder="1"/>
    <xf numFmtId="0" fontId="3" fillId="0" borderId="4" xfId="0" applyFont="1" applyBorder="1"/>
    <xf numFmtId="0" fontId="3" fillId="0" borderId="87" xfId="0" applyFont="1" applyBorder="1"/>
    <xf numFmtId="0" fontId="5" fillId="0" borderId="4" xfId="0" applyFont="1" applyBorder="1"/>
    <xf numFmtId="9" fontId="3" fillId="0" borderId="0" xfId="0" applyNumberFormat="1" applyFont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0" fontId="21" fillId="0" borderId="4" xfId="0" applyFont="1" applyBorder="1"/>
    <xf numFmtId="0" fontId="21" fillId="0" borderId="0" xfId="0" applyFont="1"/>
    <xf numFmtId="0" fontId="21" fillId="0" borderId="5" xfId="0" applyFont="1" applyBorder="1"/>
    <xf numFmtId="0" fontId="22" fillId="0" borderId="4" xfId="0" applyFont="1" applyBorder="1"/>
    <xf numFmtId="0" fontId="22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5" fillId="0" borderId="4" xfId="0" applyFont="1" applyBorder="1"/>
    <xf numFmtId="0" fontId="21" fillId="0" borderId="0" xfId="0" applyFont="1" applyAlignment="1">
      <alignment horizontal="center"/>
    </xf>
    <xf numFmtId="0" fontId="21" fillId="3" borderId="7" xfId="0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left"/>
    </xf>
    <xf numFmtId="0" fontId="21" fillId="4" borderId="8" xfId="0" applyFont="1" applyFill="1" applyBorder="1" applyAlignment="1">
      <alignment horizontal="center"/>
    </xf>
    <xf numFmtId="0" fontId="21" fillId="0" borderId="14" xfId="0" applyFont="1" applyBorder="1"/>
    <xf numFmtId="0" fontId="21" fillId="0" borderId="16" xfId="0" applyFont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0" xfId="0" applyFont="1" applyAlignment="1">
      <alignment horizontal="left"/>
    </xf>
    <xf numFmtId="164" fontId="21" fillId="3" borderId="8" xfId="0" applyNumberFormat="1" applyFont="1" applyFill="1" applyBorder="1" applyAlignment="1">
      <alignment horizontal="center"/>
    </xf>
    <xf numFmtId="0" fontId="21" fillId="3" borderId="25" xfId="0" applyFont="1" applyFill="1" applyBorder="1" applyAlignment="1">
      <alignment horizontal="center"/>
    </xf>
    <xf numFmtId="0" fontId="21" fillId="0" borderId="18" xfId="0" applyFont="1" applyBorder="1" applyAlignment="1">
      <alignment horizontal="left"/>
    </xf>
    <xf numFmtId="0" fontId="22" fillId="5" borderId="12" xfId="0" applyFont="1" applyFill="1" applyBorder="1"/>
    <xf numFmtId="0" fontId="21" fillId="3" borderId="31" xfId="0" applyFont="1" applyFill="1" applyBorder="1" applyAlignment="1">
      <alignment horizontal="left"/>
    </xf>
    <xf numFmtId="0" fontId="21" fillId="0" borderId="32" xfId="0" applyFont="1" applyBorder="1" applyAlignment="1">
      <alignment horizontal="center"/>
    </xf>
    <xf numFmtId="164" fontId="21" fillId="3" borderId="8" xfId="0" applyNumberFormat="1" applyFont="1" applyFill="1" applyBorder="1" applyAlignment="1">
      <alignment horizontal="left"/>
    </xf>
    <xf numFmtId="0" fontId="21" fillId="0" borderId="33" xfId="0" applyFont="1" applyBorder="1" applyAlignment="1">
      <alignment horizontal="center"/>
    </xf>
    <xf numFmtId="164" fontId="22" fillId="3" borderId="8" xfId="0" applyNumberFormat="1" applyFont="1" applyFill="1" applyBorder="1" applyAlignment="1">
      <alignment horizontal="center"/>
    </xf>
    <xf numFmtId="0" fontId="28" fillId="4" borderId="8" xfId="0" applyFont="1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21" fillId="0" borderId="36" xfId="0" applyFont="1" applyBorder="1"/>
    <xf numFmtId="0" fontId="21" fillId="0" borderId="41" xfId="0" applyFont="1" applyBorder="1" applyAlignment="1">
      <alignment horizontal="center"/>
    </xf>
    <xf numFmtId="0" fontId="21" fillId="3" borderId="43" xfId="0" applyFont="1" applyFill="1" applyBorder="1" applyAlignment="1">
      <alignment horizontal="center"/>
    </xf>
    <xf numFmtId="0" fontId="21" fillId="0" borderId="44" xfId="0" applyFont="1" applyBorder="1"/>
    <xf numFmtId="0" fontId="21" fillId="0" borderId="45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1" xfId="0" applyFont="1" applyBorder="1"/>
    <xf numFmtId="0" fontId="21" fillId="0" borderId="44" xfId="0" applyFont="1" applyBorder="1" applyAlignment="1">
      <alignment horizontal="center"/>
    </xf>
    <xf numFmtId="0" fontId="21" fillId="0" borderId="41" xfId="0" applyFont="1" applyBorder="1" applyAlignment="1">
      <alignment horizontal="left"/>
    </xf>
    <xf numFmtId="0" fontId="21" fillId="0" borderId="50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21" fillId="0" borderId="45" xfId="0" applyFont="1" applyBorder="1" applyAlignment="1">
      <alignment horizontal="left"/>
    </xf>
    <xf numFmtId="0" fontId="21" fillId="3" borderId="41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/>
    </xf>
    <xf numFmtId="0" fontId="21" fillId="0" borderId="65" xfId="0" applyFont="1" applyBorder="1" applyAlignment="1">
      <alignment horizontal="center"/>
    </xf>
    <xf numFmtId="0" fontId="21" fillId="0" borderId="66" xfId="0" applyFont="1" applyBorder="1" applyAlignment="1">
      <alignment horizontal="center"/>
    </xf>
    <xf numFmtId="0" fontId="21" fillId="3" borderId="67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0" fontId="21" fillId="0" borderId="70" xfId="0" applyFont="1" applyBorder="1" applyAlignment="1">
      <alignment horizontal="left"/>
    </xf>
    <xf numFmtId="0" fontId="21" fillId="3" borderId="71" xfId="0" applyFont="1" applyFill="1" applyBorder="1" applyAlignment="1">
      <alignment horizontal="center"/>
    </xf>
    <xf numFmtId="0" fontId="21" fillId="0" borderId="42" xfId="0" applyFont="1" applyBorder="1" applyAlignment="1">
      <alignment horizontal="left"/>
    </xf>
    <xf numFmtId="0" fontId="21" fillId="3" borderId="73" xfId="0" applyFont="1" applyFill="1" applyBorder="1" applyAlignment="1">
      <alignment horizontal="center"/>
    </xf>
    <xf numFmtId="0" fontId="22" fillId="0" borderId="41" xfId="0" applyFont="1" applyBorder="1"/>
    <xf numFmtId="0" fontId="21" fillId="0" borderId="74" xfId="0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45" xfId="0" applyFont="1" applyBorder="1"/>
    <xf numFmtId="0" fontId="21" fillId="0" borderId="77" xfId="0" applyFont="1" applyBorder="1"/>
    <xf numFmtId="0" fontId="22" fillId="0" borderId="45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2" fontId="21" fillId="0" borderId="41" xfId="0" applyNumberFormat="1" applyFont="1" applyBorder="1" applyAlignment="1">
      <alignment horizontal="center"/>
    </xf>
    <xf numFmtId="2" fontId="21" fillId="0" borderId="77" xfId="0" applyNumberFormat="1" applyFont="1" applyBorder="1" applyAlignment="1">
      <alignment horizontal="center"/>
    </xf>
    <xf numFmtId="166" fontId="21" fillId="0" borderId="41" xfId="0" applyNumberFormat="1" applyFont="1" applyBorder="1" applyAlignment="1">
      <alignment horizontal="center"/>
    </xf>
    <xf numFmtId="166" fontId="21" fillId="0" borderId="77" xfId="0" applyNumberFormat="1" applyFont="1" applyBorder="1" applyAlignment="1">
      <alignment horizontal="center"/>
    </xf>
    <xf numFmtId="0" fontId="22" fillId="0" borderId="79" xfId="0" applyFont="1" applyBorder="1"/>
    <xf numFmtId="0" fontId="22" fillId="0" borderId="5" xfId="0" applyFont="1" applyBorder="1"/>
    <xf numFmtId="0" fontId="21" fillId="0" borderId="80" xfId="0" applyFont="1" applyBorder="1" applyAlignment="1">
      <alignment horizontal="center"/>
    </xf>
    <xf numFmtId="0" fontId="22" fillId="5" borderId="41" xfId="0" applyFont="1" applyFill="1" applyBorder="1"/>
    <xf numFmtId="0" fontId="21" fillId="3" borderId="81" xfId="0" applyFont="1" applyFill="1" applyBorder="1" applyAlignment="1">
      <alignment horizontal="center"/>
    </xf>
    <xf numFmtId="0" fontId="21" fillId="0" borderId="82" xfId="0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2" fillId="0" borderId="0" xfId="0" applyFont="1"/>
    <xf numFmtId="0" fontId="22" fillId="0" borderId="5" xfId="0" applyFont="1" applyBorder="1" applyAlignment="1">
      <alignment horizontal="center"/>
    </xf>
    <xf numFmtId="164" fontId="22" fillId="0" borderId="84" xfId="0" applyNumberFormat="1" applyFont="1" applyBorder="1" applyAlignment="1">
      <alignment horizontal="center"/>
    </xf>
    <xf numFmtId="0" fontId="22" fillId="0" borderId="83" xfId="0" applyFont="1" applyBorder="1"/>
    <xf numFmtId="0" fontId="22" fillId="0" borderId="85" xfId="0" applyFont="1" applyBorder="1" applyAlignment="1">
      <alignment horizontal="center"/>
    </xf>
    <xf numFmtId="166" fontId="22" fillId="0" borderId="86" xfId="0" applyNumberFormat="1" applyFont="1" applyBorder="1" applyAlignment="1">
      <alignment horizontal="center"/>
    </xf>
    <xf numFmtId="0" fontId="21" fillId="0" borderId="83" xfId="0" applyFont="1" applyBorder="1" applyAlignment="1">
      <alignment horizontal="left"/>
    </xf>
    <xf numFmtId="0" fontId="30" fillId="0" borderId="1" xfId="0" applyFont="1" applyBorder="1"/>
    <xf numFmtId="10" fontId="3" fillId="0" borderId="0" xfId="0" applyNumberFormat="1" applyFont="1"/>
    <xf numFmtId="167" fontId="0" fillId="0" borderId="0" xfId="0" applyNumberFormat="1"/>
    <xf numFmtId="0" fontId="3" fillId="0" borderId="2" xfId="0" applyFont="1" applyBorder="1"/>
    <xf numFmtId="0" fontId="9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83" xfId="0" applyFont="1" applyBorder="1" applyAlignment="1">
      <alignment horizontal="left"/>
    </xf>
    <xf numFmtId="0" fontId="8" fillId="0" borderId="113" xfId="0" applyFont="1" applyBorder="1"/>
    <xf numFmtId="0" fontId="3" fillId="0" borderId="114" xfId="0" applyFont="1" applyBorder="1"/>
    <xf numFmtId="0" fontId="3" fillId="0" borderId="115" xfId="0" applyFont="1" applyBorder="1"/>
    <xf numFmtId="0" fontId="7" fillId="0" borderId="116" xfId="0" applyFont="1" applyBorder="1"/>
    <xf numFmtId="0" fontId="3" fillId="0" borderId="8" xfId="0" applyFont="1" applyBorder="1"/>
    <xf numFmtId="0" fontId="3" fillId="0" borderId="117" xfId="0" applyFont="1" applyBorder="1"/>
    <xf numFmtId="0" fontId="21" fillId="0" borderId="116" xfId="0" applyFont="1" applyBorder="1"/>
    <xf numFmtId="0" fontId="3" fillId="0" borderId="116" xfId="0" applyFont="1" applyBorder="1"/>
    <xf numFmtId="0" fontId="21" fillId="7" borderId="8" xfId="0" applyFont="1" applyFill="1" applyBorder="1"/>
    <xf numFmtId="0" fontId="3" fillId="7" borderId="8" xfId="0" applyFont="1" applyFill="1" applyBorder="1"/>
    <xf numFmtId="0" fontId="10" fillId="0" borderId="8" xfId="0" applyFont="1" applyBorder="1"/>
    <xf numFmtId="0" fontId="11" fillId="0" borderId="116" xfId="0" applyFont="1" applyBorder="1"/>
    <xf numFmtId="0" fontId="10" fillId="7" borderId="8" xfId="0" applyFont="1" applyFill="1" applyBorder="1"/>
    <xf numFmtId="0" fontId="12" fillId="0" borderId="117" xfId="0" applyFont="1" applyBorder="1"/>
    <xf numFmtId="167" fontId="0" fillId="7" borderId="8" xfId="0" applyNumberFormat="1" applyFill="1" applyBorder="1"/>
    <xf numFmtId="167" fontId="0" fillId="0" borderId="8" xfId="0" applyNumberFormat="1" applyBorder="1"/>
    <xf numFmtId="167" fontId="0" fillId="0" borderId="117" xfId="0" applyNumberFormat="1" applyBorder="1"/>
    <xf numFmtId="0" fontId="21" fillId="0" borderId="8" xfId="0" applyFont="1" applyBorder="1"/>
    <xf numFmtId="0" fontId="3" fillId="0" borderId="118" xfId="0" applyFont="1" applyBorder="1"/>
    <xf numFmtId="0" fontId="3" fillId="0" borderId="119" xfId="0" applyFont="1" applyBorder="1"/>
    <xf numFmtId="167" fontId="0" fillId="7" borderId="119" xfId="0" applyNumberFormat="1" applyFill="1" applyBorder="1"/>
    <xf numFmtId="0" fontId="3" fillId="0" borderId="3" xfId="0" applyFont="1" applyBorder="1"/>
    <xf numFmtId="0" fontId="11" fillId="0" borderId="4" xfId="0" applyFont="1" applyBorder="1"/>
    <xf numFmtId="0" fontId="10" fillId="0" borderId="0" xfId="0" applyFont="1"/>
    <xf numFmtId="0" fontId="12" fillId="0" borderId="5" xfId="0" applyFont="1" applyBorder="1"/>
    <xf numFmtId="168" fontId="3" fillId="0" borderId="109" xfId="0" applyNumberFormat="1" applyFont="1" applyBorder="1"/>
    <xf numFmtId="167" fontId="3" fillId="9" borderId="120" xfId="0" applyNumberFormat="1" applyFont="1" applyFill="1" applyBorder="1"/>
    <xf numFmtId="167" fontId="3" fillId="3" borderId="88" xfId="0" applyNumberFormat="1" applyFont="1" applyFill="1" applyBorder="1"/>
    <xf numFmtId="167" fontId="3" fillId="3" borderId="90" xfId="0" applyNumberFormat="1" applyFont="1" applyFill="1" applyBorder="1"/>
    <xf numFmtId="167" fontId="3" fillId="3" borderId="91" xfId="0" applyNumberFormat="1" applyFont="1" applyFill="1" applyBorder="1"/>
    <xf numFmtId="167" fontId="3" fillId="0" borderId="5" xfId="0" applyNumberFormat="1" applyFont="1" applyBorder="1"/>
    <xf numFmtId="168" fontId="3" fillId="0" borderId="75" xfId="0" applyNumberFormat="1" applyFont="1" applyBorder="1"/>
    <xf numFmtId="167" fontId="3" fillId="0" borderId="90" xfId="0" applyNumberFormat="1" applyFont="1" applyBorder="1"/>
    <xf numFmtId="167" fontId="3" fillId="3" borderId="92" xfId="0" applyNumberFormat="1" applyFont="1" applyFill="1" applyBorder="1"/>
    <xf numFmtId="167" fontId="3" fillId="3" borderId="93" xfId="0" applyNumberFormat="1" applyFont="1" applyFill="1" applyBorder="1"/>
    <xf numFmtId="167" fontId="3" fillId="0" borderId="92" xfId="0" applyNumberFormat="1" applyFont="1" applyBorder="1"/>
    <xf numFmtId="0" fontId="3" fillId="0" borderId="94" xfId="0" applyFont="1" applyBorder="1"/>
    <xf numFmtId="0" fontId="3" fillId="0" borderId="95" xfId="0" applyFont="1" applyBorder="1"/>
    <xf numFmtId="0" fontId="3" fillId="0" borderId="96" xfId="0" applyFont="1" applyBorder="1"/>
    <xf numFmtId="0" fontId="3" fillId="0" borderId="5" xfId="0" applyFont="1" applyBorder="1"/>
    <xf numFmtId="0" fontId="3" fillId="0" borderId="87" xfId="0" applyFont="1" applyBorder="1" applyAlignment="1">
      <alignment horizontal="left"/>
    </xf>
    <xf numFmtId="0" fontId="3" fillId="0" borderId="85" xfId="0" applyFont="1" applyBorder="1"/>
    <xf numFmtId="0" fontId="32" fillId="0" borderId="1" xfId="0" applyFont="1" applyBorder="1"/>
    <xf numFmtId="167" fontId="3" fillId="10" borderId="97" xfId="0" applyNumberFormat="1" applyFont="1" applyFill="1" applyBorder="1"/>
    <xf numFmtId="167" fontId="3" fillId="9" borderId="75" xfId="0" applyNumberFormat="1" applyFont="1" applyFill="1" applyBorder="1"/>
    <xf numFmtId="167" fontId="3" fillId="0" borderId="89" xfId="0" applyNumberFormat="1" applyFont="1" applyBorder="1"/>
    <xf numFmtId="0" fontId="3" fillId="0" borderId="98" xfId="0" applyFont="1" applyBorder="1"/>
    <xf numFmtId="0" fontId="3" fillId="0" borderId="99" xfId="0" applyFont="1" applyBorder="1"/>
    <xf numFmtId="167" fontId="3" fillId="9" borderId="92" xfId="0" applyNumberFormat="1" applyFont="1" applyFill="1" applyBorder="1"/>
    <xf numFmtId="167" fontId="3" fillId="10" borderId="100" xfId="0" applyNumberFormat="1" applyFont="1" applyFill="1" applyBorder="1"/>
    <xf numFmtId="167" fontId="3" fillId="9" borderId="101" xfId="0" applyNumberFormat="1" applyFont="1" applyFill="1" applyBorder="1"/>
    <xf numFmtId="167" fontId="3" fillId="0" borderId="101" xfId="0" applyNumberFormat="1" applyFont="1" applyBorder="1"/>
    <xf numFmtId="0" fontId="3" fillId="0" borderId="102" xfId="0" applyFont="1" applyBorder="1"/>
    <xf numFmtId="0" fontId="30" fillId="8" borderId="4" xfId="0" applyFont="1" applyFill="1" applyBorder="1"/>
    <xf numFmtId="167" fontId="3" fillId="9" borderId="0" xfId="0" applyNumberFormat="1" applyFont="1" applyFill="1"/>
    <xf numFmtId="167" fontId="3" fillId="0" borderId="0" xfId="0" applyNumberFormat="1" applyFont="1"/>
    <xf numFmtId="8" fontId="3" fillId="0" borderId="0" xfId="0" applyNumberFormat="1" applyFont="1"/>
    <xf numFmtId="0" fontId="3" fillId="0" borderId="103" xfId="0" applyFont="1" applyBorder="1"/>
    <xf numFmtId="0" fontId="3" fillId="6" borderId="104" xfId="0" applyFont="1" applyFill="1" applyBorder="1"/>
    <xf numFmtId="0" fontId="3" fillId="6" borderId="105" xfId="0" applyFont="1" applyFill="1" applyBorder="1"/>
    <xf numFmtId="0" fontId="3" fillId="0" borderId="106" xfId="0" applyFont="1" applyBorder="1"/>
    <xf numFmtId="0" fontId="3" fillId="6" borderId="107" xfId="0" applyFont="1" applyFill="1" applyBorder="1"/>
    <xf numFmtId="0" fontId="3" fillId="6" borderId="108" xfId="0" applyFont="1" applyFill="1" applyBorder="1"/>
    <xf numFmtId="167" fontId="3" fillId="9" borderId="83" xfId="0" applyNumberFormat="1" applyFont="1" applyFill="1" applyBorder="1"/>
    <xf numFmtId="0" fontId="14" fillId="0" borderId="2" xfId="0" applyFont="1" applyBorder="1"/>
    <xf numFmtId="0" fontId="15" fillId="0" borderId="3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2" fontId="3" fillId="0" borderId="0" xfId="0" applyNumberFormat="1" applyFont="1"/>
    <xf numFmtId="3" fontId="3" fillId="0" borderId="0" xfId="0" applyNumberFormat="1" applyFont="1"/>
    <xf numFmtId="1" fontId="3" fillId="0" borderId="5" xfId="0" applyNumberFormat="1" applyFont="1" applyBorder="1"/>
    <xf numFmtId="2" fontId="16" fillId="0" borderId="0" xfId="0" applyNumberFormat="1" applyFont="1"/>
    <xf numFmtId="1" fontId="17" fillId="0" borderId="5" xfId="0" applyNumberFormat="1" applyFont="1" applyBorder="1"/>
    <xf numFmtId="167" fontId="3" fillId="0" borderId="4" xfId="0" applyNumberFormat="1" applyFont="1" applyBorder="1"/>
    <xf numFmtId="2" fontId="3" fillId="0" borderId="0" xfId="0" applyNumberFormat="1" applyFont="1" applyAlignment="1">
      <alignment horizontal="right"/>
    </xf>
    <xf numFmtId="0" fontId="5" fillId="0" borderId="4" xfId="0" applyFont="1" applyBorder="1" applyAlignment="1">
      <alignment horizontal="left"/>
    </xf>
    <xf numFmtId="166" fontId="3" fillId="0" borderId="0" xfId="0" applyNumberFormat="1" applyFont="1"/>
    <xf numFmtId="2" fontId="3" fillId="0" borderId="109" xfId="0" applyNumberFormat="1" applyFont="1" applyBorder="1"/>
    <xf numFmtId="2" fontId="3" fillId="0" borderId="110" xfId="0" applyNumberFormat="1" applyFont="1" applyBorder="1"/>
    <xf numFmtId="2" fontId="3" fillId="0" borderId="111" xfId="0" applyNumberFormat="1" applyFont="1" applyBorder="1"/>
    <xf numFmtId="8" fontId="3" fillId="9" borderId="0" xfId="0" applyNumberFormat="1" applyFont="1" applyFill="1"/>
    <xf numFmtId="0" fontId="3" fillId="0" borderId="4" xfId="0" applyFont="1" applyBorder="1" applyAlignment="1">
      <alignment horizontal="center"/>
    </xf>
    <xf numFmtId="38" fontId="3" fillId="0" borderId="0" xfId="0" applyNumberFormat="1" applyFont="1"/>
    <xf numFmtId="6" fontId="3" fillId="0" borderId="0" xfId="0" applyNumberFormat="1" applyFont="1"/>
    <xf numFmtId="0" fontId="3" fillId="0" borderId="112" xfId="0" applyFont="1" applyBorder="1"/>
    <xf numFmtId="1" fontId="3" fillId="0" borderId="112" xfId="0" applyNumberFormat="1" applyFont="1" applyBorder="1"/>
    <xf numFmtId="1" fontId="3" fillId="0" borderId="83" xfId="0" applyNumberFormat="1" applyFont="1" applyBorder="1"/>
    <xf numFmtId="2" fontId="3" fillId="0" borderId="83" xfId="0" applyNumberFormat="1" applyFont="1" applyBorder="1"/>
    <xf numFmtId="1" fontId="3" fillId="0" borderId="85" xfId="0" applyNumberFormat="1" applyFont="1" applyBorder="1"/>
    <xf numFmtId="0" fontId="4" fillId="0" borderId="2" xfId="0" applyFont="1" applyBorder="1"/>
    <xf numFmtId="0" fontId="18" fillId="0" borderId="0" xfId="0" applyFont="1" applyAlignment="1">
      <alignment horizontal="right"/>
    </xf>
    <xf numFmtId="0" fontId="31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64" fontId="3" fillId="0" borderId="0" xfId="0" applyNumberFormat="1" applyFont="1"/>
    <xf numFmtId="164" fontId="3" fillId="0" borderId="5" xfId="0" applyNumberFormat="1" applyFont="1" applyBorder="1"/>
    <xf numFmtId="164" fontId="20" fillId="0" borderId="5" xfId="0" applyNumberFormat="1" applyFont="1" applyBorder="1"/>
    <xf numFmtId="169" fontId="3" fillId="0" borderId="0" xfId="0" applyNumberFormat="1" applyFont="1"/>
    <xf numFmtId="1" fontId="3" fillId="0" borderId="4" xfId="0" applyNumberFormat="1" applyFont="1" applyBorder="1"/>
    <xf numFmtId="0" fontId="13" fillId="0" borderId="87" xfId="0" applyFont="1" applyBorder="1"/>
    <xf numFmtId="164" fontId="13" fillId="0" borderId="85" xfId="0" applyNumberFormat="1" applyFont="1" applyBorder="1"/>
    <xf numFmtId="0" fontId="21" fillId="2" borderId="11" xfId="0" applyFont="1" applyFill="1" applyBorder="1" applyAlignment="1" applyProtection="1">
      <alignment horizontal="center"/>
      <protection locked="0"/>
    </xf>
    <xf numFmtId="0" fontId="21" fillId="2" borderId="6" xfId="0" applyFont="1" applyFill="1" applyBorder="1" applyAlignment="1" applyProtection="1">
      <alignment horizontal="center"/>
      <protection locked="0"/>
    </xf>
    <xf numFmtId="0" fontId="26" fillId="2" borderId="6" xfId="0" applyFont="1" applyFill="1" applyBorder="1" applyAlignment="1" applyProtection="1">
      <alignment horizontal="center"/>
      <protection locked="0"/>
    </xf>
    <xf numFmtId="0" fontId="21" fillId="2" borderId="10" xfId="0" applyFont="1" applyFill="1" applyBorder="1" applyAlignment="1" applyProtection="1">
      <alignment horizontal="center"/>
      <protection locked="0"/>
    </xf>
    <xf numFmtId="0" fontId="26" fillId="2" borderId="24" xfId="0" applyFont="1" applyFill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6" fillId="0" borderId="34" xfId="0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3" borderId="13" xfId="0" applyFont="1" applyFill="1" applyBorder="1" applyAlignment="1" applyProtection="1">
      <alignment horizontal="center"/>
      <protection locked="0"/>
    </xf>
    <xf numFmtId="0" fontId="26" fillId="3" borderId="39" xfId="0" applyFont="1" applyFill="1" applyBorder="1" applyAlignment="1" applyProtection="1">
      <alignment horizontal="center"/>
      <protection locked="0"/>
    </xf>
    <xf numFmtId="0" fontId="21" fillId="0" borderId="42" xfId="0" applyFont="1" applyBorder="1" applyProtection="1">
      <protection locked="0"/>
    </xf>
    <xf numFmtId="0" fontId="21" fillId="0" borderId="47" xfId="0" applyFont="1" applyBorder="1" applyProtection="1">
      <protection locked="0"/>
    </xf>
    <xf numFmtId="0" fontId="26" fillId="0" borderId="47" xfId="0" applyFont="1" applyBorder="1" applyAlignment="1" applyProtection="1">
      <alignment horizontal="center"/>
      <protection locked="0"/>
    </xf>
    <xf numFmtId="0" fontId="21" fillId="0" borderId="47" xfId="0" applyFont="1" applyBorder="1" applyAlignment="1" applyProtection="1">
      <alignment horizontal="center"/>
      <protection locked="0"/>
    </xf>
    <xf numFmtId="0" fontId="21" fillId="3" borderId="8" xfId="0" applyFont="1" applyFill="1" applyBorder="1" applyAlignment="1" applyProtection="1">
      <alignment horizontal="center"/>
      <protection locked="0"/>
    </xf>
    <xf numFmtId="0" fontId="21" fillId="0" borderId="69" xfId="0" applyFont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3" borderId="72" xfId="0" applyFont="1" applyFill="1" applyBorder="1" applyAlignment="1" applyProtection="1">
      <alignment horizontal="center"/>
      <protection locked="0"/>
    </xf>
    <xf numFmtId="0" fontId="21" fillId="3" borderId="71" xfId="0" applyFont="1" applyFill="1" applyBorder="1" applyAlignment="1" applyProtection="1">
      <alignment horizontal="center"/>
      <protection locked="0"/>
    </xf>
    <xf numFmtId="0" fontId="21" fillId="3" borderId="78" xfId="0" applyFont="1" applyFill="1" applyBorder="1" applyAlignment="1" applyProtection="1">
      <alignment horizontal="center"/>
      <protection locked="0"/>
    </xf>
    <xf numFmtId="166" fontId="21" fillId="2" borderId="6" xfId="0" applyNumberFormat="1" applyFont="1" applyFill="1" applyBorder="1" applyAlignment="1" applyProtection="1">
      <alignment horizontal="center"/>
      <protection locked="0"/>
    </xf>
    <xf numFmtId="166" fontId="21" fillId="0" borderId="47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83" xfId="0" applyFont="1" applyBorder="1" applyAlignment="1" applyProtection="1">
      <alignment horizontal="left"/>
      <protection locked="0"/>
    </xf>
    <xf numFmtId="0" fontId="26" fillId="3" borderId="8" xfId="0" applyFont="1" applyFill="1" applyBorder="1" applyAlignment="1" applyProtection="1">
      <alignment horizontal="center"/>
      <protection locked="0"/>
    </xf>
    <xf numFmtId="0" fontId="21" fillId="3" borderId="13" xfId="0" applyFont="1" applyFill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0" fontId="21" fillId="3" borderId="26" xfId="0" applyFont="1" applyFill="1" applyBorder="1" applyAlignment="1" applyProtection="1">
      <alignment horizontal="center"/>
      <protection locked="0"/>
    </xf>
    <xf numFmtId="0" fontId="21" fillId="3" borderId="27" xfId="0" applyFont="1" applyFill="1" applyBorder="1" applyAlignment="1" applyProtection="1">
      <alignment horizontal="center"/>
      <protection locked="0"/>
    </xf>
    <xf numFmtId="0" fontId="21" fillId="2" borderId="28" xfId="0" applyFont="1" applyFill="1" applyBorder="1" applyAlignment="1" applyProtection="1">
      <alignment horizontal="center"/>
      <protection locked="0"/>
    </xf>
    <xf numFmtId="0" fontId="21" fillId="2" borderId="29" xfId="0" applyFont="1" applyFill="1" applyBorder="1" applyAlignment="1" applyProtection="1">
      <alignment horizontal="center"/>
      <protection locked="0"/>
    </xf>
    <xf numFmtId="0" fontId="21" fillId="3" borderId="30" xfId="0" applyFont="1" applyFill="1" applyBorder="1" applyAlignment="1" applyProtection="1">
      <alignment horizontal="center"/>
      <protection locked="0"/>
    </xf>
    <xf numFmtId="0" fontId="21" fillId="3" borderId="18" xfId="0" applyFont="1" applyFill="1" applyBorder="1" applyAlignment="1" applyProtection="1">
      <alignment horizontal="center"/>
      <protection locked="0"/>
    </xf>
    <xf numFmtId="0" fontId="21" fillId="0" borderId="32" xfId="0" applyFont="1" applyBorder="1" applyAlignment="1" applyProtection="1">
      <alignment horizontal="center"/>
      <protection locked="0"/>
    </xf>
    <xf numFmtId="0" fontId="21" fillId="0" borderId="35" xfId="0" applyFont="1" applyBorder="1" applyAlignment="1" applyProtection="1">
      <alignment horizontal="center"/>
      <protection locked="0"/>
    </xf>
    <xf numFmtId="0" fontId="26" fillId="2" borderId="28" xfId="0" applyFont="1" applyFill="1" applyBorder="1" applyAlignment="1" applyProtection="1">
      <alignment horizontal="center"/>
      <protection locked="0"/>
    </xf>
    <xf numFmtId="0" fontId="21" fillId="3" borderId="38" xfId="0" applyFont="1" applyFill="1" applyBorder="1" applyAlignment="1" applyProtection="1">
      <alignment horizontal="center"/>
      <protection locked="0"/>
    </xf>
    <xf numFmtId="0" fontId="21" fillId="3" borderId="40" xfId="0" applyFont="1" applyFill="1" applyBorder="1" applyAlignment="1" applyProtection="1">
      <alignment horizontal="center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0" fontId="21" fillId="0" borderId="41" xfId="0" applyFont="1" applyBorder="1" applyProtection="1">
      <protection locked="0"/>
    </xf>
    <xf numFmtId="0" fontId="21" fillId="3" borderId="48" xfId="0" applyFont="1" applyFill="1" applyBorder="1" applyAlignment="1" applyProtection="1">
      <alignment horizontal="center"/>
      <protection locked="0"/>
    </xf>
    <xf numFmtId="0" fontId="21" fillId="2" borderId="51" xfId="0" applyFont="1" applyFill="1" applyBorder="1" applyAlignment="1" applyProtection="1">
      <alignment horizontal="center"/>
      <protection locked="0"/>
    </xf>
    <xf numFmtId="0" fontId="21" fillId="2" borderId="54" xfId="0" applyFont="1" applyFill="1" applyBorder="1" applyAlignment="1" applyProtection="1">
      <alignment horizontal="center"/>
      <protection locked="0"/>
    </xf>
    <xf numFmtId="0" fontId="21" fillId="0" borderId="56" xfId="0" applyFont="1" applyBorder="1" applyAlignment="1" applyProtection="1">
      <alignment horizontal="center"/>
      <protection locked="0"/>
    </xf>
    <xf numFmtId="0" fontId="21" fillId="0" borderId="60" xfId="0" applyFont="1" applyBorder="1" applyProtection="1">
      <protection locked="0"/>
    </xf>
    <xf numFmtId="0" fontId="21" fillId="3" borderId="41" xfId="0" applyFont="1" applyFill="1" applyBorder="1" applyAlignment="1" applyProtection="1">
      <alignment horizontal="center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0" fontId="21" fillId="3" borderId="61" xfId="0" applyFont="1" applyFill="1" applyBorder="1" applyAlignment="1" applyProtection="1">
      <alignment horizontal="center"/>
      <protection locked="0"/>
    </xf>
    <xf numFmtId="0" fontId="21" fillId="3" borderId="68" xfId="0" applyFont="1" applyFill="1" applyBorder="1" applyAlignment="1" applyProtection="1">
      <alignment horizontal="center"/>
      <protection locked="0"/>
    </xf>
    <xf numFmtId="0" fontId="21" fillId="3" borderId="15" xfId="0" applyFont="1" applyFill="1" applyBorder="1" applyAlignment="1" applyProtection="1">
      <alignment horizontal="center"/>
      <protection locked="0"/>
    </xf>
    <xf numFmtId="0" fontId="21" fillId="3" borderId="7" xfId="0" applyFont="1" applyFill="1" applyBorder="1" applyAlignment="1" applyProtection="1">
      <alignment horizontal="center"/>
      <protection locked="0"/>
    </xf>
    <xf numFmtId="0" fontId="21" fillId="3" borderId="19" xfId="0" applyFont="1" applyFill="1" applyBorder="1" applyAlignment="1" applyProtection="1">
      <alignment horizontal="center"/>
      <protection locked="0"/>
    </xf>
    <xf numFmtId="0" fontId="21" fillId="3" borderId="21" xfId="0" applyFont="1" applyFill="1" applyBorder="1" applyAlignment="1" applyProtection="1">
      <alignment horizontal="center"/>
      <protection locked="0"/>
    </xf>
    <xf numFmtId="0" fontId="21" fillId="3" borderId="22" xfId="0" applyFont="1" applyFill="1" applyBorder="1" applyAlignment="1" applyProtection="1">
      <alignment horizontal="center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26" fillId="2" borderId="11" xfId="0" applyFont="1" applyFill="1" applyBorder="1" applyAlignment="1" applyProtection="1">
      <alignment horizont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43" xfId="0" applyFont="1" applyFill="1" applyBorder="1" applyAlignment="1" applyProtection="1">
      <alignment horizontal="center"/>
      <protection locked="0"/>
    </xf>
    <xf numFmtId="0" fontId="21" fillId="0" borderId="46" xfId="0" applyFont="1" applyBorder="1" applyAlignment="1" applyProtection="1">
      <alignment horizontal="center"/>
      <protection locked="0"/>
    </xf>
    <xf numFmtId="0" fontId="21" fillId="0" borderId="49" xfId="0" applyFont="1" applyBorder="1" applyAlignment="1" applyProtection="1">
      <alignment horizontal="center"/>
      <protection locked="0"/>
    </xf>
    <xf numFmtId="0" fontId="21" fillId="2" borderId="53" xfId="0" applyFont="1" applyFill="1" applyBorder="1" applyAlignment="1" applyProtection="1">
      <alignment horizontal="center"/>
      <protection locked="0"/>
    </xf>
    <xf numFmtId="0" fontId="21" fillId="0" borderId="57" xfId="0" applyFont="1" applyBorder="1" applyAlignment="1" applyProtection="1">
      <alignment horizontal="center"/>
      <protection locked="0"/>
    </xf>
    <xf numFmtId="0" fontId="21" fillId="2" borderId="58" xfId="0" applyFont="1" applyFill="1" applyBorder="1" applyAlignment="1" applyProtection="1">
      <alignment horizontal="center"/>
      <protection locked="0"/>
    </xf>
    <xf numFmtId="0" fontId="21" fillId="3" borderId="6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Minerals\RCE%20Calculator\FY22%20update\AZ%20Reclamation%20Bond%20Calculator%202022%20DRAFT.xlsx" TargetMode="External"/><Relationship Id="rId1" Type="http://schemas.openxmlformats.org/officeDocument/2006/relationships/externalLinkPath" Target="file:///S:\Minerals\RCE%20Calculator\FY22%20update\AZ%20Reclamation%20Bond%20Calculator%202022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Calculations"/>
      <sheetName val="Continuation"/>
      <sheetName val="Sheet1"/>
    </sheetNames>
    <sheetDataSet>
      <sheetData sheetId="0"/>
      <sheetData sheetId="1">
        <row r="63">
          <cell r="I63">
            <v>5.9809200000000002</v>
          </cell>
        </row>
        <row r="64">
          <cell r="I64">
            <v>6.47933</v>
          </cell>
        </row>
        <row r="65">
          <cell r="I65">
            <v>8.2237650000000002</v>
          </cell>
        </row>
        <row r="66">
          <cell r="I66">
            <v>4.9840999999999998</v>
          </cell>
        </row>
        <row r="67">
          <cell r="I67">
            <v>10.466610000000003</v>
          </cell>
        </row>
        <row r="68">
          <cell r="I68">
            <v>17.44435</v>
          </cell>
        </row>
        <row r="69">
          <cell r="I69">
            <v>23.674475000000001</v>
          </cell>
        </row>
        <row r="70">
          <cell r="I70">
            <v>6.47933</v>
          </cell>
        </row>
        <row r="71">
          <cell r="I71">
            <v>4.9840999999999998</v>
          </cell>
        </row>
        <row r="72">
          <cell r="I72">
            <v>14.952300000000001</v>
          </cell>
        </row>
        <row r="73">
          <cell r="I73">
            <v>1.744435</v>
          </cell>
        </row>
        <row r="74">
          <cell r="I74">
            <v>4.9840999999999998</v>
          </cell>
        </row>
        <row r="75">
          <cell r="I75">
            <v>1.2460249999999999</v>
          </cell>
        </row>
        <row r="86">
          <cell r="E86">
            <v>34.909999999999997</v>
          </cell>
        </row>
        <row r="87">
          <cell r="E87">
            <v>35.99</v>
          </cell>
        </row>
        <row r="88">
          <cell r="E88">
            <v>31.64</v>
          </cell>
        </row>
        <row r="89">
          <cell r="E89">
            <v>34.909999999999997</v>
          </cell>
        </row>
        <row r="90">
          <cell r="E90">
            <v>34.909999999999997</v>
          </cell>
        </row>
        <row r="91">
          <cell r="E91">
            <v>23.540000000000003</v>
          </cell>
        </row>
        <row r="92">
          <cell r="E92">
            <v>20.100000000000001</v>
          </cell>
        </row>
        <row r="94">
          <cell r="E94">
            <v>44.85</v>
          </cell>
        </row>
        <row r="95">
          <cell r="E95">
            <v>21.96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ankersley, Richard C" id="{903E58ED-D7E0-4D33-9E27-AE1240562C14}" userId="S::rtankersley@blm.gov::91e4c75c-52ad-427c-9adb-84083f475e33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5" dT="2021-12-22T21:23:49.34" personId="{903E58ED-D7E0-4D33-9E27-AE1240562C14}" id="{B8762D82-D006-4316-BB07-55298A77F6A8}">
    <text>Deere under 6' Rotary Tiller</text>
  </threadedComment>
  <threadedComment ref="A57" dT="2021-12-22T21:16:32.70" personId="{903E58ED-D7E0-4D33-9E27-AE1240562C14}" id="{D17BEE83-9117-4FAC-8561-4F9DC4B142DE}">
    <text>https://rentallusa.net/bis/40-lb-air-jackhammer.html</text>
  </threadedComment>
  <threadedComment ref="E63" dT="2023-10-05T21:17:33.74" personId="{903E58ED-D7E0-4D33-9E27-AE1240562C14}" id="{37D1F315-1F86-4FEE-B3B9-A06A1FFB5DCC}">
    <text>AAA Avg Price Diesel Arizona Oct 4 2023</text>
  </threadedComment>
  <threadedComment ref="A84" dT="2023-10-05T22:04:33.97" personId="{903E58ED-D7E0-4D33-9E27-AE1240562C14}" id="{7D63937E-0B4A-4943-B343-7DEB832F3417}">
    <text xml:space="preserve">Not updated since 2017… I applied 25.05% inflation based on CPI data to update rates
</text>
  </threadedComment>
  <threadedComment ref="A98" dT="2023-10-05T22:00:44.70" personId="{903E58ED-D7E0-4D33-9E27-AE1240562C14}" id="{6C2E7DC3-A2A5-4C01-8D19-311D8FDBD781}">
    <text>Not updated since 2017.. Applied 25.05% inflation from 2017 values to Aug 2023 values.  This needs updated every PPI update!!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3" dT="2021-12-22T20:41:31.82" personId="{903E58ED-D7E0-4D33-9E27-AE1240562C14}" id="{DC4B3746-F8D3-492B-A205-26A4447B8042}">
    <text>Deere under 6' rotary tiller</text>
  </threadedComment>
  <threadedComment ref="A15" dT="2021-12-22T21:16:18.87" personId="{903E58ED-D7E0-4D33-9E27-AE1240562C14}" id="{6213E73C-D9F4-45FF-9CF0-2E9B738614EC}">
    <text>https://rentallusa.net/bis/40-lb-air-jackhammer.html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1000"/>
  <sheetViews>
    <sheetView tabSelected="1" workbookViewId="0">
      <selection activeCell="D162" sqref="D162:D171"/>
    </sheetView>
  </sheetViews>
  <sheetFormatPr defaultColWidth="14.42578125" defaultRowHeight="15" customHeight="1" x14ac:dyDescent="0.2"/>
  <cols>
    <col min="1" max="1" width="42.140625" customWidth="1"/>
    <col min="2" max="2" width="4.7109375" customWidth="1"/>
    <col min="3" max="3" width="25.28515625" customWidth="1"/>
    <col min="4" max="4" width="11.28515625" customWidth="1"/>
    <col min="5" max="5" width="20.5703125" customWidth="1"/>
    <col min="6" max="6" width="13.140625" customWidth="1"/>
    <col min="7" max="7" width="23.140625" customWidth="1"/>
    <col min="8" max="8" width="15.85546875" customWidth="1"/>
    <col min="9" max="23" width="8.85546875" customWidth="1"/>
    <col min="24" max="24" width="9.28515625" customWidth="1"/>
    <col min="25" max="28" width="8.85546875" customWidth="1"/>
  </cols>
  <sheetData>
    <row r="1" spans="1:28" ht="15.6" customHeight="1" x14ac:dyDescent="0.35">
      <c r="A1" s="118" t="s">
        <v>0</v>
      </c>
      <c r="B1" s="1"/>
      <c r="C1" s="1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2" customHeight="1" x14ac:dyDescent="0.2">
      <c r="A2" s="24" t="s">
        <v>704</v>
      </c>
      <c r="B2" s="25"/>
      <c r="C2" s="25"/>
      <c r="D2" s="25"/>
      <c r="E2" s="25"/>
      <c r="F2" s="25"/>
      <c r="G2" s="25"/>
      <c r="H2" s="26"/>
      <c r="I2" s="2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2" customHeight="1" x14ac:dyDescent="0.2">
      <c r="A3" s="27" t="s">
        <v>685</v>
      </c>
      <c r="B3" s="25"/>
      <c r="C3" s="25"/>
      <c r="D3" s="25"/>
      <c r="E3" s="25"/>
      <c r="F3" s="25"/>
      <c r="G3" s="25"/>
      <c r="H3" s="26"/>
      <c r="I3" s="2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2" customHeight="1" x14ac:dyDescent="0.2">
      <c r="A4" s="28" t="s">
        <v>686</v>
      </c>
      <c r="B4" s="25"/>
      <c r="C4" s="25"/>
      <c r="D4" s="25"/>
      <c r="E4" s="25"/>
      <c r="F4" s="25"/>
      <c r="G4" s="25"/>
      <c r="H4" s="26"/>
      <c r="I4" s="2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2" customHeight="1" x14ac:dyDescent="0.2">
      <c r="A5" s="29"/>
      <c r="B5" s="25"/>
      <c r="C5" s="25"/>
      <c r="D5" s="25"/>
      <c r="E5" s="25"/>
      <c r="F5" s="25" t="s">
        <v>2</v>
      </c>
      <c r="G5" s="25"/>
      <c r="H5" s="26"/>
      <c r="I5" s="2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2" customHeight="1" x14ac:dyDescent="0.2">
      <c r="A6" s="30" t="s">
        <v>3</v>
      </c>
      <c r="B6" s="25"/>
      <c r="C6" s="25"/>
      <c r="D6" s="25"/>
      <c r="E6" s="25"/>
      <c r="F6" s="25"/>
      <c r="G6" s="25"/>
      <c r="H6" s="26"/>
      <c r="I6" s="2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2" customHeight="1" x14ac:dyDescent="0.2">
      <c r="A7" s="24" t="s">
        <v>4</v>
      </c>
      <c r="B7" s="25"/>
      <c r="C7" s="25"/>
      <c r="D7" s="25"/>
      <c r="E7" s="25"/>
      <c r="F7" s="25"/>
      <c r="G7" s="25"/>
      <c r="H7" s="26"/>
      <c r="I7" s="2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2" customHeight="1" x14ac:dyDescent="0.2">
      <c r="A8" s="24" t="s">
        <v>5</v>
      </c>
      <c r="B8" s="25"/>
      <c r="C8" s="25"/>
      <c r="D8" s="25"/>
      <c r="E8" s="25"/>
      <c r="F8" s="25"/>
      <c r="G8" s="25"/>
      <c r="H8" s="26"/>
      <c r="I8" s="2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2" customHeight="1" x14ac:dyDescent="0.2">
      <c r="A9" s="24" t="s">
        <v>6</v>
      </c>
      <c r="B9" s="25"/>
      <c r="C9" s="25"/>
      <c r="D9" s="25"/>
      <c r="E9" s="25"/>
      <c r="F9" s="25"/>
      <c r="G9" s="25"/>
      <c r="H9" s="26"/>
      <c r="I9" s="2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2" customHeight="1" x14ac:dyDescent="0.2">
      <c r="A10" s="24" t="s">
        <v>7</v>
      </c>
      <c r="B10" s="25"/>
      <c r="C10" s="25"/>
      <c r="D10" s="25"/>
      <c r="E10" s="25"/>
      <c r="F10" s="25"/>
      <c r="G10" s="25"/>
      <c r="H10" s="26"/>
      <c r="I10" s="2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2" customHeight="1" x14ac:dyDescent="0.2">
      <c r="A11" s="24" t="s">
        <v>8</v>
      </c>
      <c r="B11" s="25"/>
      <c r="C11" s="25"/>
      <c r="D11" s="25"/>
      <c r="E11" s="25"/>
      <c r="F11" s="25"/>
      <c r="G11" s="25"/>
      <c r="H11" s="26"/>
      <c r="I11" s="2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2" customHeight="1" x14ac:dyDescent="0.2">
      <c r="A12" s="24"/>
      <c r="B12" s="25"/>
      <c r="C12" s="25"/>
      <c r="D12" s="25"/>
      <c r="E12" s="25"/>
      <c r="F12" s="25"/>
      <c r="G12" s="25"/>
      <c r="H12" s="26"/>
      <c r="I12" s="2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" customHeight="1" x14ac:dyDescent="0.2">
      <c r="A13" s="27" t="s">
        <v>9</v>
      </c>
      <c r="B13" s="31" t="s">
        <v>10</v>
      </c>
      <c r="C13" s="31" t="s">
        <v>11</v>
      </c>
      <c r="D13" s="227"/>
      <c r="E13" s="31" t="s">
        <v>12</v>
      </c>
      <c r="F13" s="226"/>
      <c r="G13" s="31"/>
      <c r="H13" s="32"/>
      <c r="I13" s="31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" customHeight="1" x14ac:dyDescent="0.2">
      <c r="A14" s="29" t="s">
        <v>13</v>
      </c>
      <c r="B14" s="31" t="s">
        <v>14</v>
      </c>
      <c r="C14" s="31" t="s">
        <v>11</v>
      </c>
      <c r="D14" s="227"/>
      <c r="E14" s="31" t="s">
        <v>12</v>
      </c>
      <c r="F14" s="226"/>
      <c r="G14" s="31"/>
      <c r="H14" s="32"/>
      <c r="I14" s="33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2" customHeight="1" x14ac:dyDescent="0.2">
      <c r="A15" s="24"/>
      <c r="B15" s="31" t="s">
        <v>15</v>
      </c>
      <c r="C15" s="31" t="s">
        <v>11</v>
      </c>
      <c r="D15" s="227"/>
      <c r="E15" s="31" t="s">
        <v>12</v>
      </c>
      <c r="F15" s="226"/>
      <c r="G15" s="31"/>
      <c r="H15" s="32"/>
      <c r="I15" s="31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2" customHeight="1" x14ac:dyDescent="0.2">
      <c r="A16" s="24"/>
      <c r="B16" s="31"/>
      <c r="C16" s="31"/>
      <c r="D16" s="250"/>
      <c r="E16" s="31"/>
      <c r="F16" s="240"/>
      <c r="G16" s="31"/>
      <c r="H16" s="35"/>
      <c r="I16" s="31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2" customHeight="1" x14ac:dyDescent="0.2">
      <c r="A17" s="28" t="s">
        <v>16</v>
      </c>
      <c r="B17" s="31" t="s">
        <v>10</v>
      </c>
      <c r="C17" s="31" t="s">
        <v>11</v>
      </c>
      <c r="D17" s="227"/>
      <c r="E17" s="31" t="s">
        <v>12</v>
      </c>
      <c r="F17" s="226"/>
      <c r="G17" s="31" t="s">
        <v>17</v>
      </c>
      <c r="H17" s="228"/>
      <c r="I17" s="31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2" customHeight="1" x14ac:dyDescent="0.2">
      <c r="A18" s="29" t="s">
        <v>18</v>
      </c>
      <c r="B18" s="31" t="s">
        <v>14</v>
      </c>
      <c r="C18" s="31" t="s">
        <v>11</v>
      </c>
      <c r="D18" s="227"/>
      <c r="E18" s="31" t="s">
        <v>12</v>
      </c>
      <c r="F18" s="226"/>
      <c r="G18" s="31" t="s">
        <v>17</v>
      </c>
      <c r="H18" s="225"/>
      <c r="I18" s="31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2" customHeight="1" x14ac:dyDescent="0.2">
      <c r="A19" s="29" t="s">
        <v>19</v>
      </c>
      <c r="B19" s="31" t="s">
        <v>15</v>
      </c>
      <c r="C19" s="31" t="s">
        <v>11</v>
      </c>
      <c r="D19" s="227"/>
      <c r="E19" s="31" t="s">
        <v>12</v>
      </c>
      <c r="F19" s="226"/>
      <c r="G19" s="31" t="s">
        <v>17</v>
      </c>
      <c r="H19" s="225"/>
      <c r="I19" s="31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2" customHeight="1" x14ac:dyDescent="0.2">
      <c r="A20" s="36" t="s">
        <v>20</v>
      </c>
      <c r="B20" s="37"/>
      <c r="C20" s="31"/>
      <c r="D20" s="251"/>
      <c r="E20" s="38"/>
      <c r="F20" s="242"/>
      <c r="G20" s="31"/>
      <c r="H20" s="275"/>
      <c r="I20" s="31"/>
      <c r="J20" s="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2" customHeight="1" x14ac:dyDescent="0.2">
      <c r="A21" s="24"/>
      <c r="B21" s="31"/>
      <c r="C21" s="31"/>
      <c r="D21" s="252"/>
      <c r="E21" s="40"/>
      <c r="F21" s="231"/>
      <c r="G21" s="31"/>
      <c r="H21" s="276"/>
      <c r="I21" s="31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2" customHeight="1" x14ac:dyDescent="0.2">
      <c r="A22" s="27" t="s">
        <v>21</v>
      </c>
      <c r="B22" s="31" t="s">
        <v>10</v>
      </c>
      <c r="C22" s="31" t="s">
        <v>11</v>
      </c>
      <c r="D22" s="227"/>
      <c r="E22" s="31" t="s">
        <v>12</v>
      </c>
      <c r="F22" s="226"/>
      <c r="G22" s="31"/>
      <c r="H22" s="276"/>
      <c r="I22" s="31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2" customHeight="1" x14ac:dyDescent="0.2">
      <c r="A23" s="29" t="s">
        <v>22</v>
      </c>
      <c r="B23" s="31" t="s">
        <v>14</v>
      </c>
      <c r="C23" s="31" t="s">
        <v>11</v>
      </c>
      <c r="D23" s="227"/>
      <c r="E23" s="31" t="s">
        <v>12</v>
      </c>
      <c r="F23" s="226"/>
      <c r="G23" s="31"/>
      <c r="H23" s="276"/>
      <c r="I23" s="31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2" customHeight="1" x14ac:dyDescent="0.2">
      <c r="A24" s="24"/>
      <c r="B24" s="31" t="s">
        <v>15</v>
      </c>
      <c r="C24" s="31" t="s">
        <v>11</v>
      </c>
      <c r="D24" s="227"/>
      <c r="E24" s="31" t="s">
        <v>12</v>
      </c>
      <c r="F24" s="226"/>
      <c r="G24" s="31"/>
      <c r="H24" s="276"/>
      <c r="I24" s="31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2" customHeight="1" x14ac:dyDescent="0.2">
      <c r="A25" s="36" t="s">
        <v>23</v>
      </c>
      <c r="B25" s="37"/>
      <c r="C25" s="31"/>
      <c r="D25" s="231"/>
      <c r="E25" s="41"/>
      <c r="F25" s="231"/>
      <c r="G25" s="31"/>
      <c r="H25" s="276"/>
      <c r="I25" s="31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2" customHeight="1" x14ac:dyDescent="0.2">
      <c r="A26" s="24"/>
      <c r="B26" s="31"/>
      <c r="C26" s="31"/>
      <c r="D26" s="231"/>
      <c r="E26" s="41"/>
      <c r="F26" s="231"/>
      <c r="G26" s="31"/>
      <c r="H26" s="277"/>
      <c r="I26" s="31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2" customHeight="1" x14ac:dyDescent="0.2">
      <c r="A27" s="27" t="s">
        <v>24</v>
      </c>
      <c r="B27" s="31" t="s">
        <v>10</v>
      </c>
      <c r="C27" s="31" t="s">
        <v>11</v>
      </c>
      <c r="D27" s="227"/>
      <c r="E27" s="31" t="s">
        <v>12</v>
      </c>
      <c r="F27" s="226"/>
      <c r="G27" s="31" t="s">
        <v>17</v>
      </c>
      <c r="H27" s="225"/>
      <c r="I27" s="31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2" customHeight="1" x14ac:dyDescent="0.2">
      <c r="A28" s="29" t="s">
        <v>25</v>
      </c>
      <c r="B28" s="31" t="s">
        <v>14</v>
      </c>
      <c r="C28" s="31" t="s">
        <v>11</v>
      </c>
      <c r="D28" s="227"/>
      <c r="E28" s="31" t="s">
        <v>12</v>
      </c>
      <c r="F28" s="226"/>
      <c r="G28" s="31" t="s">
        <v>17</v>
      </c>
      <c r="H28" s="225"/>
      <c r="I28" s="31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2" customHeight="1" x14ac:dyDescent="0.2">
      <c r="A29" s="24" t="s">
        <v>26</v>
      </c>
      <c r="B29" s="31" t="s">
        <v>15</v>
      </c>
      <c r="C29" s="31" t="s">
        <v>11</v>
      </c>
      <c r="D29" s="227"/>
      <c r="E29" s="31" t="s">
        <v>12</v>
      </c>
      <c r="F29" s="226"/>
      <c r="G29" s="31" t="s">
        <v>17</v>
      </c>
      <c r="H29" s="225"/>
      <c r="I29" s="31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2" customHeight="1" x14ac:dyDescent="0.2">
      <c r="A30" s="36" t="s">
        <v>27</v>
      </c>
      <c r="B30" s="37"/>
      <c r="C30" s="31"/>
      <c r="D30" s="231"/>
      <c r="E30" s="41"/>
      <c r="F30" s="231"/>
      <c r="G30" s="42"/>
      <c r="H30" s="278"/>
      <c r="I30" s="31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2" customHeight="1" x14ac:dyDescent="0.2">
      <c r="A31" s="24"/>
      <c r="B31" s="31"/>
      <c r="C31" s="31"/>
      <c r="D31" s="231"/>
      <c r="E31" s="41"/>
      <c r="F31" s="231"/>
      <c r="G31" s="39"/>
      <c r="H31" s="279"/>
      <c r="I31" s="31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2" customHeight="1" x14ac:dyDescent="0.2">
      <c r="A32" s="27" t="s">
        <v>28</v>
      </c>
      <c r="B32" s="31" t="s">
        <v>10</v>
      </c>
      <c r="C32" s="31" t="s">
        <v>11</v>
      </c>
      <c r="D32" s="226"/>
      <c r="E32" s="43" t="s">
        <v>29</v>
      </c>
      <c r="F32" s="226"/>
      <c r="G32" s="31" t="s">
        <v>30</v>
      </c>
      <c r="H32" s="225"/>
      <c r="I32" s="31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2" customHeight="1" x14ac:dyDescent="0.2">
      <c r="A33" s="29" t="s">
        <v>31</v>
      </c>
      <c r="B33" s="31" t="s">
        <v>14</v>
      </c>
      <c r="C33" s="31" t="s">
        <v>11</v>
      </c>
      <c r="D33" s="226"/>
      <c r="E33" s="43" t="s">
        <v>29</v>
      </c>
      <c r="F33" s="226"/>
      <c r="G33" s="31" t="s">
        <v>30</v>
      </c>
      <c r="H33" s="225"/>
      <c r="I33" s="31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2" customHeight="1" x14ac:dyDescent="0.2">
      <c r="A34" s="24" t="s">
        <v>32</v>
      </c>
      <c r="B34" s="31" t="s">
        <v>15</v>
      </c>
      <c r="C34" s="31" t="s">
        <v>11</v>
      </c>
      <c r="D34" s="226"/>
      <c r="E34" s="43" t="s">
        <v>29</v>
      </c>
      <c r="F34" s="226"/>
      <c r="G34" s="31" t="s">
        <v>30</v>
      </c>
      <c r="H34" s="225"/>
      <c r="I34" s="31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2" customHeight="1" x14ac:dyDescent="0.2">
      <c r="A35" s="24"/>
      <c r="B35" s="31"/>
      <c r="C35" s="31"/>
      <c r="D35" s="231"/>
      <c r="E35" s="41"/>
      <c r="F35" s="231"/>
      <c r="G35" s="31"/>
      <c r="H35" s="280"/>
      <c r="I35" s="25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2" customHeight="1" x14ac:dyDescent="0.2">
      <c r="A36" s="27" t="s">
        <v>33</v>
      </c>
      <c r="B36" s="31" t="s">
        <v>10</v>
      </c>
      <c r="C36" s="31" t="s">
        <v>11</v>
      </c>
      <c r="D36" s="227"/>
      <c r="E36" s="31" t="s">
        <v>12</v>
      </c>
      <c r="F36" s="226"/>
      <c r="G36" s="31" t="s">
        <v>34</v>
      </c>
      <c r="H36" s="225"/>
      <c r="I36" s="31"/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2" customHeight="1" x14ac:dyDescent="0.2">
      <c r="A37" s="29" t="s">
        <v>35</v>
      </c>
      <c r="B37" s="31" t="s">
        <v>14</v>
      </c>
      <c r="C37" s="31" t="s">
        <v>11</v>
      </c>
      <c r="D37" s="227"/>
      <c r="E37" s="31" t="s">
        <v>12</v>
      </c>
      <c r="F37" s="226"/>
      <c r="G37" s="31" t="s">
        <v>34</v>
      </c>
      <c r="H37" s="225"/>
      <c r="I37" s="31"/>
      <c r="J37" s="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2" customHeight="1" x14ac:dyDescent="0.2">
      <c r="A38" s="24" t="s">
        <v>36</v>
      </c>
      <c r="B38" s="31" t="s">
        <v>15</v>
      </c>
      <c r="C38" s="31" t="s">
        <v>11</v>
      </c>
      <c r="D38" s="227"/>
      <c r="E38" s="31" t="s">
        <v>12</v>
      </c>
      <c r="F38" s="226"/>
      <c r="G38" s="31" t="s">
        <v>34</v>
      </c>
      <c r="H38" s="225"/>
      <c r="I38" s="31"/>
      <c r="J38" s="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2" customHeight="1" x14ac:dyDescent="0.2">
      <c r="A39" s="24"/>
      <c r="B39" s="31" t="s">
        <v>37</v>
      </c>
      <c r="C39" s="31" t="s">
        <v>11</v>
      </c>
      <c r="D39" s="227"/>
      <c r="E39" s="31" t="s">
        <v>12</v>
      </c>
      <c r="F39" s="226"/>
      <c r="G39" s="31" t="s">
        <v>34</v>
      </c>
      <c r="H39" s="225"/>
      <c r="I39" s="31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2" customHeight="1" x14ac:dyDescent="0.2">
      <c r="A40" s="24"/>
      <c r="B40" s="31" t="s">
        <v>38</v>
      </c>
      <c r="C40" s="31" t="s">
        <v>11</v>
      </c>
      <c r="D40" s="227"/>
      <c r="E40" s="31" t="s">
        <v>12</v>
      </c>
      <c r="F40" s="226"/>
      <c r="G40" s="31" t="s">
        <v>34</v>
      </c>
      <c r="H40" s="225"/>
      <c r="I40" s="31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2" customHeight="1" x14ac:dyDescent="0.2">
      <c r="A41" s="24"/>
      <c r="B41" s="31" t="s">
        <v>39</v>
      </c>
      <c r="C41" s="31" t="s">
        <v>11</v>
      </c>
      <c r="D41" s="227"/>
      <c r="E41" s="31" t="s">
        <v>12</v>
      </c>
      <c r="F41" s="226"/>
      <c r="G41" s="31" t="s">
        <v>34</v>
      </c>
      <c r="H41" s="225"/>
      <c r="I41" s="31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2" customHeight="1" x14ac:dyDescent="0.2">
      <c r="A42" s="24"/>
      <c r="B42" s="31" t="s">
        <v>40</v>
      </c>
      <c r="C42" s="31" t="s">
        <v>11</v>
      </c>
      <c r="D42" s="227"/>
      <c r="E42" s="31" t="s">
        <v>12</v>
      </c>
      <c r="F42" s="226"/>
      <c r="G42" s="31" t="s">
        <v>34</v>
      </c>
      <c r="H42" s="225"/>
      <c r="I42" s="31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2" customHeight="1" x14ac:dyDescent="0.2">
      <c r="A43" s="24"/>
      <c r="B43" s="31" t="s">
        <v>41</v>
      </c>
      <c r="C43" s="31" t="s">
        <v>11</v>
      </c>
      <c r="D43" s="227"/>
      <c r="E43" s="31" t="s">
        <v>12</v>
      </c>
      <c r="F43" s="226"/>
      <c r="G43" s="31" t="s">
        <v>34</v>
      </c>
      <c r="H43" s="225"/>
      <c r="I43" s="31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2" customHeight="1" x14ac:dyDescent="0.2">
      <c r="A44" s="24"/>
      <c r="B44" s="31" t="s">
        <v>42</v>
      </c>
      <c r="C44" s="31" t="s">
        <v>11</v>
      </c>
      <c r="D44" s="229"/>
      <c r="E44" s="31" t="s">
        <v>12</v>
      </c>
      <c r="F44" s="226"/>
      <c r="G44" s="31" t="s">
        <v>34</v>
      </c>
      <c r="H44" s="225"/>
      <c r="I44" s="31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2" customHeight="1" x14ac:dyDescent="0.2">
      <c r="A45" s="24"/>
      <c r="B45" s="31" t="s">
        <v>43</v>
      </c>
      <c r="C45" s="31" t="s">
        <v>11</v>
      </c>
      <c r="D45" s="227"/>
      <c r="E45" s="31" t="s">
        <v>12</v>
      </c>
      <c r="F45" s="226"/>
      <c r="G45" s="31" t="s">
        <v>34</v>
      </c>
      <c r="H45" s="225"/>
      <c r="I45" s="31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2" customHeight="1" x14ac:dyDescent="0.2">
      <c r="A46" s="24"/>
      <c r="B46" s="31"/>
      <c r="C46" s="31"/>
      <c r="D46" s="230"/>
      <c r="E46" s="31"/>
      <c r="F46" s="231"/>
      <c r="G46" s="31"/>
      <c r="H46" s="280"/>
      <c r="I46" s="31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2" customHeight="1" x14ac:dyDescent="0.2">
      <c r="A47" s="27" t="s">
        <v>1</v>
      </c>
      <c r="B47" s="31" t="s">
        <v>10</v>
      </c>
      <c r="C47" s="31" t="s">
        <v>11</v>
      </c>
      <c r="D47" s="227"/>
      <c r="E47" s="31" t="s">
        <v>12</v>
      </c>
      <c r="F47" s="226"/>
      <c r="G47" s="45" t="s">
        <v>44</v>
      </c>
      <c r="H47" s="225"/>
      <c r="I47" s="4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2" customHeight="1" x14ac:dyDescent="0.2">
      <c r="A48" s="29" t="s">
        <v>45</v>
      </c>
      <c r="B48" s="31"/>
      <c r="C48" s="31" t="s">
        <v>46</v>
      </c>
      <c r="D48" s="226"/>
      <c r="E48" s="47"/>
      <c r="F48" s="253"/>
      <c r="G48" s="48"/>
      <c r="H48" s="280"/>
      <c r="I48" s="31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2" customHeight="1" x14ac:dyDescent="0.2">
      <c r="A49" s="24" t="s">
        <v>47</v>
      </c>
      <c r="B49" s="31" t="s">
        <v>14</v>
      </c>
      <c r="C49" s="31" t="s">
        <v>11</v>
      </c>
      <c r="D49" s="227"/>
      <c r="E49" s="31" t="s">
        <v>12</v>
      </c>
      <c r="F49" s="226"/>
      <c r="G49" s="45" t="s">
        <v>44</v>
      </c>
      <c r="H49" s="225"/>
      <c r="I49" s="31" t="s">
        <v>2</v>
      </c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2" customHeight="1" x14ac:dyDescent="0.2">
      <c r="A50" s="24"/>
      <c r="B50" s="31"/>
      <c r="C50" s="31" t="s">
        <v>46</v>
      </c>
      <c r="D50" s="226"/>
      <c r="E50" s="43"/>
      <c r="F50" s="254"/>
      <c r="G50" s="45"/>
      <c r="H50" s="280"/>
      <c r="I50" s="31"/>
      <c r="J50" s="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2" customHeight="1" x14ac:dyDescent="0.2">
      <c r="A51" s="24"/>
      <c r="B51" s="31" t="s">
        <v>15</v>
      </c>
      <c r="C51" s="31" t="s">
        <v>11</v>
      </c>
      <c r="D51" s="227"/>
      <c r="E51" s="31" t="s">
        <v>12</v>
      </c>
      <c r="F51" s="255"/>
      <c r="G51" s="45" t="s">
        <v>44</v>
      </c>
      <c r="H51" s="225"/>
      <c r="I51" s="33"/>
      <c r="J51" s="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2" customHeight="1" x14ac:dyDescent="0.2">
      <c r="A52" s="24"/>
      <c r="B52" s="31"/>
      <c r="C52" s="31" t="s">
        <v>46</v>
      </c>
      <c r="D52" s="226"/>
      <c r="E52" s="43"/>
      <c r="F52" s="240"/>
      <c r="G52" s="45"/>
      <c r="H52" s="280"/>
      <c r="I52" s="31"/>
      <c r="J52" s="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2" customHeight="1" x14ac:dyDescent="0.2">
      <c r="A53" s="24"/>
      <c r="B53" s="31" t="s">
        <v>37</v>
      </c>
      <c r="C53" s="31" t="s">
        <v>11</v>
      </c>
      <c r="D53" s="227"/>
      <c r="E53" s="31" t="s">
        <v>12</v>
      </c>
      <c r="F53" s="226"/>
      <c r="G53" s="45" t="s">
        <v>44</v>
      </c>
      <c r="H53" s="225"/>
      <c r="I53" s="31"/>
      <c r="J53" s="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2" customHeight="1" x14ac:dyDescent="0.2">
      <c r="A54" s="24"/>
      <c r="B54" s="31"/>
      <c r="C54" s="31" t="s">
        <v>46</v>
      </c>
      <c r="D54" s="226"/>
      <c r="E54" s="43"/>
      <c r="F54" s="240"/>
      <c r="G54" s="45"/>
      <c r="H54" s="280"/>
      <c r="I54" s="31"/>
      <c r="J54" s="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2" customHeight="1" x14ac:dyDescent="0.2">
      <c r="A55" s="24"/>
      <c r="B55" s="31" t="s">
        <v>38</v>
      </c>
      <c r="C55" s="31" t="s">
        <v>11</v>
      </c>
      <c r="D55" s="227"/>
      <c r="E55" s="31" t="s">
        <v>12</v>
      </c>
      <c r="F55" s="256"/>
      <c r="G55" s="45" t="s">
        <v>44</v>
      </c>
      <c r="H55" s="225"/>
      <c r="I55" s="31"/>
      <c r="J55" s="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2" customHeight="1" x14ac:dyDescent="0.2">
      <c r="A56" s="24"/>
      <c r="B56" s="31"/>
      <c r="C56" s="31" t="s">
        <v>46</v>
      </c>
      <c r="D56" s="226"/>
      <c r="E56" s="43"/>
      <c r="F56" s="257"/>
      <c r="G56" s="45"/>
      <c r="H56" s="280"/>
      <c r="I56" s="31"/>
      <c r="J56" s="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2" customHeight="1" x14ac:dyDescent="0.2">
      <c r="A57" s="24"/>
      <c r="B57" s="31"/>
      <c r="C57" s="31"/>
      <c r="D57" s="231"/>
      <c r="E57" s="43"/>
      <c r="F57" s="258"/>
      <c r="G57" s="45"/>
      <c r="H57" s="280"/>
      <c r="I57" s="31"/>
      <c r="J57" s="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2" customHeight="1" x14ac:dyDescent="0.2">
      <c r="A58" s="49" t="s">
        <v>48</v>
      </c>
      <c r="B58" s="31"/>
      <c r="C58" s="31" t="s">
        <v>49</v>
      </c>
      <c r="D58" s="227"/>
      <c r="E58" s="50" t="s">
        <v>50</v>
      </c>
      <c r="F58" s="259"/>
      <c r="G58" s="31"/>
      <c r="H58" s="280"/>
      <c r="I58" s="52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2" customHeight="1" x14ac:dyDescent="0.2">
      <c r="A59" s="24"/>
      <c r="B59" s="31"/>
      <c r="C59" s="53"/>
      <c r="D59" s="232"/>
      <c r="E59" s="41"/>
      <c r="F59" s="260"/>
      <c r="G59" s="31"/>
      <c r="H59" s="280"/>
      <c r="I59" s="54"/>
      <c r="J59" s="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2" customHeight="1" x14ac:dyDescent="0.2">
      <c r="A60" s="27" t="s">
        <v>51</v>
      </c>
      <c r="B60" s="31" t="s">
        <v>10</v>
      </c>
      <c r="C60" s="31" t="s">
        <v>11</v>
      </c>
      <c r="D60" s="227"/>
      <c r="E60" s="31" t="s">
        <v>12</v>
      </c>
      <c r="F60" s="261"/>
      <c r="G60" s="31" t="s">
        <v>44</v>
      </c>
      <c r="H60" s="225"/>
      <c r="I60" s="3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2" customHeight="1" x14ac:dyDescent="0.2">
      <c r="A61" s="29" t="s">
        <v>52</v>
      </c>
      <c r="B61" s="31" t="s">
        <v>14</v>
      </c>
      <c r="C61" s="31" t="s">
        <v>11</v>
      </c>
      <c r="D61" s="227"/>
      <c r="E61" s="31" t="s">
        <v>12</v>
      </c>
      <c r="F61" s="227"/>
      <c r="G61" s="31" t="s">
        <v>44</v>
      </c>
      <c r="H61" s="225"/>
      <c r="I61" s="31"/>
      <c r="J61" s="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2" customHeight="1" x14ac:dyDescent="0.2">
      <c r="A62" s="24" t="s">
        <v>53</v>
      </c>
      <c r="B62" s="31" t="s">
        <v>15</v>
      </c>
      <c r="C62" s="31" t="s">
        <v>11</v>
      </c>
      <c r="D62" s="227"/>
      <c r="E62" s="31" t="s">
        <v>12</v>
      </c>
      <c r="F62" s="227"/>
      <c r="G62" s="31" t="s">
        <v>44</v>
      </c>
      <c r="H62" s="225"/>
      <c r="I62" s="31"/>
      <c r="J62" s="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2" customHeight="1" x14ac:dyDescent="0.2">
      <c r="A63" s="24" t="s">
        <v>54</v>
      </c>
      <c r="B63" s="31" t="s">
        <v>37</v>
      </c>
      <c r="C63" s="31" t="s">
        <v>11</v>
      </c>
      <c r="D63" s="227"/>
      <c r="E63" s="31" t="s">
        <v>12</v>
      </c>
      <c r="F63" s="227"/>
      <c r="G63" s="31" t="s">
        <v>44</v>
      </c>
      <c r="H63" s="225"/>
      <c r="I63" s="31"/>
      <c r="J63" s="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2" customHeight="1" x14ac:dyDescent="0.2">
      <c r="A64" s="24" t="s">
        <v>55</v>
      </c>
      <c r="B64" s="31" t="s">
        <v>38</v>
      </c>
      <c r="C64" s="31" t="s">
        <v>11</v>
      </c>
      <c r="D64" s="227"/>
      <c r="E64" s="31" t="s">
        <v>12</v>
      </c>
      <c r="F64" s="227"/>
      <c r="G64" s="31" t="s">
        <v>44</v>
      </c>
      <c r="H64" s="225"/>
      <c r="I64" s="31"/>
      <c r="J64" s="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2" customHeight="1" x14ac:dyDescent="0.2">
      <c r="A65" s="24"/>
      <c r="B65" s="31"/>
      <c r="C65" s="31"/>
      <c r="D65" s="233"/>
      <c r="E65" s="31"/>
      <c r="F65" s="233"/>
      <c r="G65" s="31"/>
      <c r="H65" s="281"/>
      <c r="I65" s="31"/>
      <c r="J65" s="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2" customHeight="1" x14ac:dyDescent="0.2">
      <c r="A66" s="27" t="s">
        <v>56</v>
      </c>
      <c r="B66" s="31" t="s">
        <v>10</v>
      </c>
      <c r="C66" s="31" t="s">
        <v>11</v>
      </c>
      <c r="D66" s="227"/>
      <c r="E66" s="31" t="s">
        <v>12</v>
      </c>
      <c r="F66" s="227"/>
      <c r="G66" s="31" t="s">
        <v>44</v>
      </c>
      <c r="H66" s="225"/>
      <c r="I66" s="31"/>
      <c r="J66" s="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2" customHeight="1" x14ac:dyDescent="0.2">
      <c r="A67" s="24" t="s">
        <v>57</v>
      </c>
      <c r="B67" s="31" t="s">
        <v>14</v>
      </c>
      <c r="C67" s="31" t="s">
        <v>11</v>
      </c>
      <c r="D67" s="227"/>
      <c r="E67" s="31" t="s">
        <v>12</v>
      </c>
      <c r="F67" s="227"/>
      <c r="G67" s="31" t="s">
        <v>44</v>
      </c>
      <c r="H67" s="225"/>
      <c r="I67" s="31"/>
      <c r="J67" s="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2" customHeight="1" x14ac:dyDescent="0.2">
      <c r="A68" s="24" t="s">
        <v>58</v>
      </c>
      <c r="B68" s="31" t="s">
        <v>15</v>
      </c>
      <c r="C68" s="31" t="s">
        <v>11</v>
      </c>
      <c r="D68" s="227"/>
      <c r="E68" s="31" t="s">
        <v>12</v>
      </c>
      <c r="F68" s="227"/>
      <c r="G68" s="31" t="s">
        <v>44</v>
      </c>
      <c r="H68" s="225"/>
      <c r="I68" s="31"/>
      <c r="J68" s="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2" customHeight="1" x14ac:dyDescent="0.2">
      <c r="A69" s="24"/>
      <c r="B69" s="31" t="s">
        <v>37</v>
      </c>
      <c r="C69" s="31" t="s">
        <v>11</v>
      </c>
      <c r="D69" s="227"/>
      <c r="E69" s="31" t="s">
        <v>12</v>
      </c>
      <c r="F69" s="227"/>
      <c r="G69" s="31" t="s">
        <v>44</v>
      </c>
      <c r="H69" s="225"/>
      <c r="I69" s="31"/>
      <c r="J69" s="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2" customHeight="1" x14ac:dyDescent="0.2">
      <c r="A70" s="24"/>
      <c r="B70" s="31" t="s">
        <v>38</v>
      </c>
      <c r="C70" s="31" t="s">
        <v>11</v>
      </c>
      <c r="D70" s="227"/>
      <c r="E70" s="31" t="s">
        <v>12</v>
      </c>
      <c r="F70" s="227"/>
      <c r="G70" s="31" t="s">
        <v>44</v>
      </c>
      <c r="H70" s="225"/>
      <c r="I70" s="31"/>
      <c r="J70" s="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2" customHeight="1" x14ac:dyDescent="0.2">
      <c r="A71" s="36" t="s">
        <v>59</v>
      </c>
      <c r="B71" s="37"/>
      <c r="C71" s="31"/>
      <c r="D71" s="230"/>
      <c r="E71" s="31"/>
      <c r="F71" s="230"/>
      <c r="G71" s="31"/>
      <c r="H71" s="280"/>
      <c r="I71" s="31"/>
      <c r="J71" s="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2" customHeight="1" x14ac:dyDescent="0.2">
      <c r="A72" s="24"/>
      <c r="B72" s="31"/>
      <c r="C72" s="31"/>
      <c r="D72" s="230"/>
      <c r="E72" s="31"/>
      <c r="F72" s="231"/>
      <c r="G72" s="31"/>
      <c r="H72" s="280"/>
      <c r="I72" s="3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2" customHeight="1" x14ac:dyDescent="0.2">
      <c r="A73" s="27" t="s">
        <v>60</v>
      </c>
      <c r="B73" s="31" t="s">
        <v>10</v>
      </c>
      <c r="C73" s="31" t="s">
        <v>11</v>
      </c>
      <c r="D73" s="227"/>
      <c r="E73" s="31" t="s">
        <v>61</v>
      </c>
      <c r="F73" s="227"/>
      <c r="G73" s="31" t="s">
        <v>62</v>
      </c>
      <c r="H73" s="282"/>
      <c r="I73" s="3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2" customHeight="1" x14ac:dyDescent="0.2">
      <c r="A74" s="24" t="s">
        <v>63</v>
      </c>
      <c r="B74" s="31" t="s">
        <v>14</v>
      </c>
      <c r="C74" s="31" t="s">
        <v>11</v>
      </c>
      <c r="D74" s="227"/>
      <c r="E74" s="31" t="s">
        <v>61</v>
      </c>
      <c r="F74" s="227"/>
      <c r="G74" s="31" t="s">
        <v>64</v>
      </c>
      <c r="H74" s="282"/>
      <c r="I74" s="3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2" customHeight="1" x14ac:dyDescent="0.2">
      <c r="A75" s="24"/>
      <c r="B75" s="31" t="s">
        <v>15</v>
      </c>
      <c r="C75" s="31" t="s">
        <v>11</v>
      </c>
      <c r="D75" s="227"/>
      <c r="E75" s="31" t="s">
        <v>61</v>
      </c>
      <c r="F75" s="227"/>
      <c r="G75" s="31"/>
      <c r="H75" s="282"/>
      <c r="I75" s="3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2" customHeight="1" x14ac:dyDescent="0.2">
      <c r="A76" s="24"/>
      <c r="B76" s="31" t="s">
        <v>37</v>
      </c>
      <c r="C76" s="31" t="s">
        <v>11</v>
      </c>
      <c r="D76" s="227"/>
      <c r="E76" s="31" t="s">
        <v>61</v>
      </c>
      <c r="F76" s="227"/>
      <c r="G76" s="31"/>
      <c r="H76" s="282"/>
      <c r="I76" s="3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2" customHeight="1" x14ac:dyDescent="0.2">
      <c r="A77" s="24"/>
      <c r="B77" s="31"/>
      <c r="C77" s="31"/>
      <c r="D77" s="230"/>
      <c r="E77" s="31"/>
      <c r="F77" s="231"/>
      <c r="G77" s="31"/>
      <c r="H77" s="280"/>
      <c r="I77" s="3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2" customHeight="1" x14ac:dyDescent="0.2">
      <c r="A78" s="27" t="s">
        <v>65</v>
      </c>
      <c r="B78" s="31" t="s">
        <v>10</v>
      </c>
      <c r="C78" s="31" t="s">
        <v>11</v>
      </c>
      <c r="D78" s="227"/>
      <c r="E78" s="31" t="s">
        <v>12</v>
      </c>
      <c r="F78" s="227"/>
      <c r="G78" s="31" t="s">
        <v>44</v>
      </c>
      <c r="H78" s="282"/>
      <c r="I78" s="31"/>
      <c r="J78" s="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2" customHeight="1" x14ac:dyDescent="0.2">
      <c r="A79" s="29" t="s">
        <v>66</v>
      </c>
      <c r="B79" s="31" t="s">
        <v>14</v>
      </c>
      <c r="C79" s="31" t="s">
        <v>11</v>
      </c>
      <c r="D79" s="227"/>
      <c r="E79" s="31" t="s">
        <v>12</v>
      </c>
      <c r="F79" s="227"/>
      <c r="G79" s="31" t="s">
        <v>44</v>
      </c>
      <c r="H79" s="282"/>
      <c r="I79" s="31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2" customHeight="1" x14ac:dyDescent="0.2">
      <c r="A80" s="24" t="s">
        <v>67</v>
      </c>
      <c r="B80" s="31" t="s">
        <v>15</v>
      </c>
      <c r="C80" s="31" t="s">
        <v>11</v>
      </c>
      <c r="D80" s="227"/>
      <c r="E80" s="31" t="s">
        <v>12</v>
      </c>
      <c r="F80" s="227"/>
      <c r="G80" s="31" t="s">
        <v>44</v>
      </c>
      <c r="H80" s="282"/>
      <c r="I80" s="31"/>
      <c r="J80" s="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2" customHeight="1" x14ac:dyDescent="0.2">
      <c r="A81" s="24" t="s">
        <v>68</v>
      </c>
      <c r="B81" s="31" t="s">
        <v>37</v>
      </c>
      <c r="C81" s="31" t="s">
        <v>11</v>
      </c>
      <c r="D81" s="227"/>
      <c r="E81" s="31" t="s">
        <v>12</v>
      </c>
      <c r="F81" s="227"/>
      <c r="G81" s="31" t="s">
        <v>44</v>
      </c>
      <c r="H81" s="282"/>
      <c r="I81" s="31"/>
      <c r="J81" s="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2" customHeight="1" x14ac:dyDescent="0.2">
      <c r="A82" s="24" t="s">
        <v>69</v>
      </c>
      <c r="B82" s="31" t="s">
        <v>38</v>
      </c>
      <c r="C82" s="31" t="s">
        <v>11</v>
      </c>
      <c r="D82" s="227"/>
      <c r="E82" s="31" t="s">
        <v>12</v>
      </c>
      <c r="F82" s="227"/>
      <c r="G82" s="31" t="s">
        <v>44</v>
      </c>
      <c r="H82" s="282"/>
      <c r="I82" s="31"/>
      <c r="J82" s="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2" customHeight="1" x14ac:dyDescent="0.2">
      <c r="A83" s="24" t="s">
        <v>70</v>
      </c>
      <c r="B83" s="31" t="s">
        <v>39</v>
      </c>
      <c r="C83" s="31" t="s">
        <v>11</v>
      </c>
      <c r="D83" s="227"/>
      <c r="E83" s="31" t="s">
        <v>12</v>
      </c>
      <c r="F83" s="227"/>
      <c r="G83" s="31" t="s">
        <v>44</v>
      </c>
      <c r="H83" s="282"/>
      <c r="I83" s="31"/>
      <c r="J83" s="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2" customHeight="1" x14ac:dyDescent="0.2">
      <c r="A84" s="24" t="s">
        <v>71</v>
      </c>
      <c r="B84" s="31" t="s">
        <v>40</v>
      </c>
      <c r="C84" s="31" t="s">
        <v>11</v>
      </c>
      <c r="D84" s="227"/>
      <c r="E84" s="31" t="s">
        <v>12</v>
      </c>
      <c r="F84" s="227"/>
      <c r="G84" s="31" t="s">
        <v>44</v>
      </c>
      <c r="H84" s="282"/>
      <c r="I84" s="31"/>
      <c r="J84" s="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2" customHeight="1" x14ac:dyDescent="0.2">
      <c r="A85" s="24" t="s">
        <v>72</v>
      </c>
      <c r="B85" s="31" t="s">
        <v>41</v>
      </c>
      <c r="C85" s="31" t="s">
        <v>11</v>
      </c>
      <c r="D85" s="227"/>
      <c r="E85" s="31" t="s">
        <v>12</v>
      </c>
      <c r="F85" s="227"/>
      <c r="G85" s="31" t="s">
        <v>44</v>
      </c>
      <c r="H85" s="282"/>
      <c r="I85" s="31"/>
      <c r="J85" s="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2" customHeight="1" x14ac:dyDescent="0.2">
      <c r="A86" s="24"/>
      <c r="B86" s="31" t="s">
        <v>42</v>
      </c>
      <c r="C86" s="31" t="s">
        <v>11</v>
      </c>
      <c r="D86" s="227"/>
      <c r="E86" s="31" t="s">
        <v>12</v>
      </c>
      <c r="F86" s="227"/>
      <c r="G86" s="31" t="s">
        <v>44</v>
      </c>
      <c r="H86" s="282"/>
      <c r="I86" s="31"/>
      <c r="J86" s="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2" customHeight="1" x14ac:dyDescent="0.2">
      <c r="A87" s="24"/>
      <c r="B87" s="31" t="s">
        <v>43</v>
      </c>
      <c r="C87" s="31" t="s">
        <v>11</v>
      </c>
      <c r="D87" s="227"/>
      <c r="E87" s="31" t="s">
        <v>12</v>
      </c>
      <c r="F87" s="227"/>
      <c r="G87" s="31" t="s">
        <v>44</v>
      </c>
      <c r="H87" s="282"/>
      <c r="I87" s="31"/>
      <c r="J87" s="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2" customHeight="1" x14ac:dyDescent="0.2">
      <c r="A88" s="36" t="s">
        <v>73</v>
      </c>
      <c r="B88" s="55"/>
      <c r="C88" s="31"/>
      <c r="D88" s="230"/>
      <c r="E88" s="31"/>
      <c r="F88" s="231"/>
      <c r="G88" s="31"/>
      <c r="H88" s="280"/>
      <c r="I88" s="31"/>
      <c r="J88" s="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2" customHeight="1" x14ac:dyDescent="0.2">
      <c r="A89" s="56"/>
      <c r="B89" s="57"/>
      <c r="C89" s="31"/>
      <c r="D89" s="230"/>
      <c r="E89" s="31"/>
      <c r="F89" s="231"/>
      <c r="G89" s="31"/>
      <c r="H89" s="280"/>
      <c r="I89" s="31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2" customHeight="1" x14ac:dyDescent="0.2">
      <c r="A90" s="27" t="s">
        <v>74</v>
      </c>
      <c r="B90" s="31"/>
      <c r="C90" s="31" t="s">
        <v>75</v>
      </c>
      <c r="D90" s="227"/>
      <c r="E90" s="31"/>
      <c r="F90" s="242"/>
      <c r="G90" s="31"/>
      <c r="H90" s="280"/>
      <c r="I90" s="31"/>
      <c r="J90" s="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2" customHeight="1" x14ac:dyDescent="0.2">
      <c r="A91" s="24"/>
      <c r="B91" s="31"/>
      <c r="C91" s="31"/>
      <c r="D91" s="230"/>
      <c r="E91" s="31"/>
      <c r="F91" s="231"/>
      <c r="G91" s="31"/>
      <c r="H91" s="280"/>
      <c r="I91" s="31"/>
      <c r="J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2" customHeight="1" x14ac:dyDescent="0.2">
      <c r="A92" s="27" t="s">
        <v>76</v>
      </c>
      <c r="B92" s="31" t="s">
        <v>10</v>
      </c>
      <c r="C92" s="31" t="s">
        <v>11</v>
      </c>
      <c r="D92" s="227"/>
      <c r="E92" s="31" t="s">
        <v>12</v>
      </c>
      <c r="F92" s="226"/>
      <c r="G92" s="31" t="s">
        <v>44</v>
      </c>
      <c r="H92" s="225"/>
      <c r="I92" s="3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2" customHeight="1" x14ac:dyDescent="0.2">
      <c r="A93" s="29" t="s">
        <v>66</v>
      </c>
      <c r="B93" s="31" t="s">
        <v>14</v>
      </c>
      <c r="C93" s="31" t="s">
        <v>11</v>
      </c>
      <c r="D93" s="227"/>
      <c r="E93" s="31" t="s">
        <v>12</v>
      </c>
      <c r="F93" s="226"/>
      <c r="G93" s="31" t="s">
        <v>44</v>
      </c>
      <c r="H93" s="225"/>
      <c r="I93" s="31"/>
      <c r="J93" s="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2" customHeight="1" x14ac:dyDescent="0.2">
      <c r="A94" s="24" t="s">
        <v>67</v>
      </c>
      <c r="B94" s="31"/>
      <c r="C94" s="58"/>
      <c r="D94" s="234"/>
      <c r="E94" s="59"/>
      <c r="F94" s="262"/>
      <c r="G94" s="59"/>
      <c r="H94" s="275"/>
      <c r="I94" s="31"/>
      <c r="J94" s="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2" customHeight="1" x14ac:dyDescent="0.2">
      <c r="A95" s="24"/>
      <c r="B95" s="31"/>
      <c r="C95" s="58"/>
      <c r="D95" s="235"/>
      <c r="E95" s="51"/>
      <c r="F95" s="263"/>
      <c r="G95" s="51"/>
      <c r="H95" s="283"/>
      <c r="I95" s="31"/>
      <c r="J95" s="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2" customHeight="1" x14ac:dyDescent="0.2">
      <c r="A96" s="28" t="s">
        <v>77</v>
      </c>
      <c r="B96" s="31"/>
      <c r="C96" s="31" t="s">
        <v>11</v>
      </c>
      <c r="D96" s="227"/>
      <c r="E96" s="31" t="s">
        <v>12</v>
      </c>
      <c r="F96" s="226"/>
      <c r="G96" s="31" t="s">
        <v>34</v>
      </c>
      <c r="H96" s="225"/>
      <c r="I96" s="31"/>
      <c r="J96" s="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2" customHeight="1" x14ac:dyDescent="0.2">
      <c r="A97" s="29" t="s">
        <v>78</v>
      </c>
      <c r="B97" s="31"/>
      <c r="C97" s="58"/>
      <c r="D97" s="234"/>
      <c r="E97" s="59"/>
      <c r="F97" s="262"/>
      <c r="G97" s="59"/>
      <c r="H97" s="275"/>
      <c r="I97" s="31"/>
      <c r="J97" s="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2" customHeight="1" x14ac:dyDescent="0.2">
      <c r="A98" s="29"/>
      <c r="B98" s="31"/>
      <c r="C98" s="61"/>
      <c r="D98" s="235"/>
      <c r="E98" s="51"/>
      <c r="F98" s="263"/>
      <c r="G98" s="51"/>
      <c r="H98" s="276"/>
      <c r="I98" s="31"/>
      <c r="J98" s="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2" customHeight="1" x14ac:dyDescent="0.2">
      <c r="A99" s="27" t="s">
        <v>79</v>
      </c>
      <c r="B99" s="62"/>
      <c r="C99" s="62" t="s">
        <v>80</v>
      </c>
      <c r="D99" s="236"/>
      <c r="E99" s="62"/>
      <c r="F99" s="264"/>
      <c r="G99" s="62"/>
      <c r="H99" s="284"/>
      <c r="I99" s="31"/>
      <c r="J99" s="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2" customHeight="1" x14ac:dyDescent="0.2">
      <c r="A100" s="24"/>
      <c r="B100" s="62"/>
      <c r="C100" s="64" t="s">
        <v>81</v>
      </c>
      <c r="D100" s="227"/>
      <c r="E100" s="65"/>
      <c r="F100" s="264"/>
      <c r="G100" s="62"/>
      <c r="H100" s="285"/>
      <c r="I100" s="31"/>
      <c r="J100" s="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2" customHeight="1" x14ac:dyDescent="0.2">
      <c r="A101" s="27" t="s">
        <v>82</v>
      </c>
      <c r="B101" s="62"/>
      <c r="C101" s="62" t="s">
        <v>83</v>
      </c>
      <c r="D101" s="237"/>
      <c r="E101" s="62"/>
      <c r="F101" s="265"/>
      <c r="G101" s="62"/>
      <c r="H101" s="280"/>
      <c r="I101" s="31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2" customHeight="1" x14ac:dyDescent="0.2">
      <c r="A102" s="24"/>
      <c r="B102" s="62"/>
      <c r="C102" s="68" t="s">
        <v>84</v>
      </c>
      <c r="D102" s="227"/>
      <c r="E102" s="65"/>
      <c r="F102" s="264"/>
      <c r="G102" s="62"/>
      <c r="H102" s="280"/>
      <c r="I102" s="45"/>
      <c r="J102" s="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2" customHeight="1" x14ac:dyDescent="0.2">
      <c r="A103" s="27" t="s">
        <v>85</v>
      </c>
      <c r="B103" s="62"/>
      <c r="C103" s="67"/>
      <c r="D103" s="237"/>
      <c r="E103" s="69"/>
      <c r="F103" s="266"/>
      <c r="G103" s="62"/>
      <c r="H103" s="286"/>
      <c r="I103" s="31"/>
      <c r="J103" s="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2" customHeight="1" x14ac:dyDescent="0.2">
      <c r="A104" s="27" t="s">
        <v>687</v>
      </c>
      <c r="B104" s="62" t="s">
        <v>10</v>
      </c>
      <c r="C104" s="68" t="s">
        <v>11</v>
      </c>
      <c r="D104" s="227"/>
      <c r="E104" s="70" t="s">
        <v>12</v>
      </c>
      <c r="F104" s="267"/>
      <c r="G104" s="71" t="s">
        <v>86</v>
      </c>
      <c r="H104" s="287"/>
      <c r="I104" s="25"/>
      <c r="J104" s="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2" customHeight="1" x14ac:dyDescent="0.2">
      <c r="A105" s="27"/>
      <c r="B105" s="62" t="s">
        <v>14</v>
      </c>
      <c r="C105" s="68" t="s">
        <v>11</v>
      </c>
      <c r="D105" s="227"/>
      <c r="E105" s="70" t="s">
        <v>12</v>
      </c>
      <c r="F105" s="267"/>
      <c r="G105" s="71" t="s">
        <v>86</v>
      </c>
      <c r="H105" s="287"/>
      <c r="I105" s="25"/>
      <c r="J105" s="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2" customHeight="1" x14ac:dyDescent="0.2">
      <c r="A106" s="27"/>
      <c r="B106" s="62" t="s">
        <v>15</v>
      </c>
      <c r="C106" s="68" t="s">
        <v>11</v>
      </c>
      <c r="D106" s="227"/>
      <c r="E106" s="70" t="s">
        <v>12</v>
      </c>
      <c r="F106" s="268"/>
      <c r="G106" s="71" t="s">
        <v>86</v>
      </c>
      <c r="H106" s="287"/>
      <c r="I106" s="25"/>
      <c r="J106" s="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2" customHeight="1" x14ac:dyDescent="0.2">
      <c r="A107" s="27"/>
      <c r="B107" s="62" t="s">
        <v>37</v>
      </c>
      <c r="C107" s="68" t="s">
        <v>11</v>
      </c>
      <c r="D107" s="227"/>
      <c r="E107" s="70" t="s">
        <v>12</v>
      </c>
      <c r="F107" s="267"/>
      <c r="G107" s="71" t="s">
        <v>86</v>
      </c>
      <c r="H107" s="287"/>
      <c r="I107" s="25"/>
      <c r="J107" s="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2" customHeight="1" x14ac:dyDescent="0.2">
      <c r="A108" s="27"/>
      <c r="B108" s="62" t="s">
        <v>38</v>
      </c>
      <c r="C108" s="68" t="s">
        <v>11</v>
      </c>
      <c r="D108" s="227"/>
      <c r="E108" s="70" t="s">
        <v>12</v>
      </c>
      <c r="F108" s="267"/>
      <c r="G108" s="71" t="s">
        <v>86</v>
      </c>
      <c r="H108" s="287"/>
      <c r="I108" s="25"/>
      <c r="J108" s="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2" customHeight="1" x14ac:dyDescent="0.2">
      <c r="A109" s="27"/>
      <c r="B109" s="62"/>
      <c r="C109" s="68"/>
      <c r="D109" s="233"/>
      <c r="E109" s="72"/>
      <c r="F109" s="269"/>
      <c r="G109" s="72"/>
      <c r="H109" s="288"/>
      <c r="I109" s="25"/>
      <c r="J109" s="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2" customHeight="1" x14ac:dyDescent="0.2">
      <c r="A110" s="24" t="s">
        <v>87</v>
      </c>
      <c r="B110" s="62" t="s">
        <v>10</v>
      </c>
      <c r="C110" s="68" t="s">
        <v>11</v>
      </c>
      <c r="D110" s="227"/>
      <c r="E110" s="70" t="s">
        <v>12</v>
      </c>
      <c r="F110" s="267"/>
      <c r="G110" s="71" t="s">
        <v>86</v>
      </c>
      <c r="H110" s="289"/>
      <c r="I110" s="31"/>
      <c r="J110" s="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2" customHeight="1" x14ac:dyDescent="0.2">
      <c r="A111" s="24"/>
      <c r="B111" s="62" t="s">
        <v>14</v>
      </c>
      <c r="C111" s="73" t="s">
        <v>11</v>
      </c>
      <c r="D111" s="227"/>
      <c r="E111" s="70" t="s">
        <v>12</v>
      </c>
      <c r="F111" s="267"/>
      <c r="G111" s="71" t="s">
        <v>86</v>
      </c>
      <c r="H111" s="289"/>
      <c r="I111" s="31"/>
      <c r="J111" s="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2" customHeight="1" x14ac:dyDescent="0.2">
      <c r="A112" s="24"/>
      <c r="B112" s="62" t="s">
        <v>15</v>
      </c>
      <c r="C112" s="73" t="s">
        <v>11</v>
      </c>
      <c r="D112" s="227"/>
      <c r="E112" s="70" t="s">
        <v>12</v>
      </c>
      <c r="F112" s="267"/>
      <c r="G112" s="71" t="s">
        <v>86</v>
      </c>
      <c r="H112" s="289"/>
      <c r="I112" s="31"/>
      <c r="J112" s="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2" customHeight="1" x14ac:dyDescent="0.2">
      <c r="A113" s="24"/>
      <c r="B113" s="62" t="s">
        <v>37</v>
      </c>
      <c r="C113" s="73" t="s">
        <v>11</v>
      </c>
      <c r="D113" s="227"/>
      <c r="E113" s="70" t="s">
        <v>12</v>
      </c>
      <c r="F113" s="267"/>
      <c r="G113" s="71" t="s">
        <v>86</v>
      </c>
      <c r="H113" s="289"/>
      <c r="I113" s="31"/>
      <c r="J113" s="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2" customHeight="1" x14ac:dyDescent="0.2">
      <c r="A114" s="24"/>
      <c r="B114" s="62" t="s">
        <v>38</v>
      </c>
      <c r="C114" s="73" t="s">
        <v>11</v>
      </c>
      <c r="D114" s="227"/>
      <c r="E114" s="70" t="s">
        <v>12</v>
      </c>
      <c r="F114" s="267"/>
      <c r="G114" s="71" t="s">
        <v>86</v>
      </c>
      <c r="H114" s="289"/>
      <c r="I114" s="31"/>
      <c r="J114" s="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2" customHeight="1" x14ac:dyDescent="0.2">
      <c r="A115" s="24"/>
      <c r="B115" s="62"/>
      <c r="C115" s="62"/>
      <c r="D115" s="238"/>
      <c r="E115" s="62"/>
      <c r="F115" s="270"/>
      <c r="G115" s="62"/>
      <c r="H115" s="280"/>
      <c r="I115" s="31"/>
      <c r="J115" s="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2" customHeight="1" x14ac:dyDescent="0.2">
      <c r="A116" s="27" t="s">
        <v>88</v>
      </c>
      <c r="B116" s="62"/>
      <c r="C116" s="68" t="s">
        <v>89</v>
      </c>
      <c r="D116" s="226"/>
      <c r="E116" s="74"/>
      <c r="F116" s="271"/>
      <c r="G116" s="62"/>
      <c r="H116" s="280"/>
      <c r="I116" s="3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2" customHeight="1" x14ac:dyDescent="0.2">
      <c r="A117" s="24"/>
      <c r="B117" s="62"/>
      <c r="C117" s="62"/>
      <c r="D117" s="239"/>
      <c r="E117" s="62"/>
      <c r="F117" s="272"/>
      <c r="G117" s="62"/>
      <c r="H117" s="280"/>
      <c r="I117" s="31"/>
      <c r="J117" s="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2" customHeight="1" x14ac:dyDescent="0.2">
      <c r="A118" s="27" t="s">
        <v>90</v>
      </c>
      <c r="B118" s="62"/>
      <c r="C118" s="68" t="s">
        <v>91</v>
      </c>
      <c r="D118" s="226"/>
      <c r="E118" s="72" t="s">
        <v>86</v>
      </c>
      <c r="F118" s="226"/>
      <c r="G118" s="65"/>
      <c r="H118" s="280"/>
      <c r="I118" s="31"/>
      <c r="J118" s="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2" customHeight="1" x14ac:dyDescent="0.2">
      <c r="A119" s="24"/>
      <c r="B119" s="62"/>
      <c r="C119" s="62"/>
      <c r="D119" s="239"/>
      <c r="E119" s="62"/>
      <c r="F119" s="239"/>
      <c r="G119" s="62"/>
      <c r="H119" s="280"/>
      <c r="I119" s="31"/>
      <c r="J119" s="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2" customHeight="1" x14ac:dyDescent="0.2">
      <c r="A120" s="27" t="s">
        <v>92</v>
      </c>
      <c r="B120" s="62" t="s">
        <v>10</v>
      </c>
      <c r="C120" s="68" t="s">
        <v>11</v>
      </c>
      <c r="D120" s="226"/>
      <c r="E120" s="72" t="s">
        <v>12</v>
      </c>
      <c r="F120" s="226"/>
      <c r="G120" s="72" t="s">
        <v>93</v>
      </c>
      <c r="H120" s="226"/>
      <c r="I120" s="31"/>
      <c r="J120" s="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2" customHeight="1" x14ac:dyDescent="0.2">
      <c r="A121" s="29" t="s">
        <v>94</v>
      </c>
      <c r="B121" s="62"/>
      <c r="C121" s="68" t="s">
        <v>95</v>
      </c>
      <c r="D121" s="226"/>
      <c r="E121" s="72" t="s">
        <v>96</v>
      </c>
      <c r="F121" s="226"/>
      <c r="G121" s="72" t="s">
        <v>97</v>
      </c>
      <c r="H121" s="226"/>
      <c r="I121" s="31"/>
      <c r="J121" s="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2" customHeight="1" x14ac:dyDescent="0.2">
      <c r="A122" s="29"/>
      <c r="B122" s="62" t="s">
        <v>14</v>
      </c>
      <c r="C122" s="68" t="s">
        <v>11</v>
      </c>
      <c r="D122" s="226"/>
      <c r="E122" s="72" t="s">
        <v>12</v>
      </c>
      <c r="F122" s="226"/>
      <c r="G122" s="72" t="s">
        <v>93</v>
      </c>
      <c r="H122" s="226"/>
      <c r="I122" s="31"/>
      <c r="J122" s="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2" customHeight="1" x14ac:dyDescent="0.2">
      <c r="A123" s="29" t="s">
        <v>94</v>
      </c>
      <c r="B123" s="62"/>
      <c r="C123" s="68" t="s">
        <v>95</v>
      </c>
      <c r="D123" s="226"/>
      <c r="E123" s="72" t="s">
        <v>96</v>
      </c>
      <c r="F123" s="226"/>
      <c r="G123" s="72" t="s">
        <v>97</v>
      </c>
      <c r="H123" s="226"/>
      <c r="I123" s="31"/>
      <c r="J123" s="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2" customHeight="1" x14ac:dyDescent="0.2">
      <c r="A124" s="29"/>
      <c r="B124" s="62" t="s">
        <v>15</v>
      </c>
      <c r="C124" s="68" t="s">
        <v>11</v>
      </c>
      <c r="D124" s="226"/>
      <c r="E124" s="72" t="s">
        <v>12</v>
      </c>
      <c r="F124" s="226"/>
      <c r="G124" s="72" t="s">
        <v>93</v>
      </c>
      <c r="H124" s="226"/>
      <c r="I124" s="34"/>
      <c r="J124" s="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2" customHeight="1" x14ac:dyDescent="0.2">
      <c r="A125" s="29" t="s">
        <v>94</v>
      </c>
      <c r="B125" s="62"/>
      <c r="C125" s="68" t="s">
        <v>95</v>
      </c>
      <c r="D125" s="226"/>
      <c r="E125" s="72" t="s">
        <v>96</v>
      </c>
      <c r="F125" s="226"/>
      <c r="G125" s="72" t="s">
        <v>97</v>
      </c>
      <c r="H125" s="226"/>
      <c r="I125" s="31"/>
      <c r="J125" s="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2" customHeight="1" x14ac:dyDescent="0.2">
      <c r="A126" s="29"/>
      <c r="B126" s="62" t="s">
        <v>37</v>
      </c>
      <c r="C126" s="68" t="s">
        <v>11</v>
      </c>
      <c r="D126" s="226"/>
      <c r="E126" s="72" t="s">
        <v>12</v>
      </c>
      <c r="F126" s="226"/>
      <c r="G126" s="72" t="s">
        <v>93</v>
      </c>
      <c r="H126" s="226"/>
      <c r="I126" s="31"/>
      <c r="J126" s="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2" customHeight="1" x14ac:dyDescent="0.2">
      <c r="A127" s="29" t="s">
        <v>94</v>
      </c>
      <c r="B127" s="62"/>
      <c r="C127" s="68" t="s">
        <v>95</v>
      </c>
      <c r="D127" s="226"/>
      <c r="E127" s="72" t="s">
        <v>96</v>
      </c>
      <c r="F127" s="226"/>
      <c r="G127" s="72" t="s">
        <v>97</v>
      </c>
      <c r="H127" s="226"/>
      <c r="I127" s="31"/>
      <c r="J127" s="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2" customHeight="1" x14ac:dyDescent="0.2">
      <c r="A128" s="29"/>
      <c r="B128" s="62" t="s">
        <v>38</v>
      </c>
      <c r="C128" s="68" t="s">
        <v>11</v>
      </c>
      <c r="D128" s="226"/>
      <c r="E128" s="72" t="s">
        <v>12</v>
      </c>
      <c r="F128" s="226"/>
      <c r="G128" s="72" t="s">
        <v>93</v>
      </c>
      <c r="H128" s="226"/>
      <c r="I128" s="31"/>
      <c r="J128" s="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2" customHeight="1" x14ac:dyDescent="0.2">
      <c r="A129" s="29" t="s">
        <v>94</v>
      </c>
      <c r="B129" s="62"/>
      <c r="C129" s="68" t="s">
        <v>95</v>
      </c>
      <c r="D129" s="226"/>
      <c r="E129" s="72" t="s">
        <v>96</v>
      </c>
      <c r="F129" s="226"/>
      <c r="G129" s="72" t="s">
        <v>97</v>
      </c>
      <c r="H129" s="226"/>
      <c r="I129" s="31"/>
      <c r="J129" s="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2" customHeight="1" x14ac:dyDescent="0.2">
      <c r="A130" s="29"/>
      <c r="B130" s="31"/>
      <c r="C130" s="78"/>
      <c r="D130" s="239"/>
      <c r="E130" s="78"/>
      <c r="F130" s="273"/>
      <c r="G130" s="59"/>
      <c r="H130" s="290"/>
      <c r="I130" s="31"/>
      <c r="J130" s="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2" customHeight="1" x14ac:dyDescent="0.2">
      <c r="A131" s="28" t="s">
        <v>688</v>
      </c>
      <c r="B131" s="31"/>
      <c r="C131" s="79" t="s">
        <v>11</v>
      </c>
      <c r="D131" s="226"/>
      <c r="E131" s="80" t="s">
        <v>98</v>
      </c>
      <c r="F131" s="226"/>
      <c r="G131" s="81" t="s">
        <v>99</v>
      </c>
      <c r="H131" s="226"/>
      <c r="I131" s="31"/>
      <c r="J131" s="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2" customHeight="1" x14ac:dyDescent="0.2">
      <c r="A132" s="28" t="s">
        <v>689</v>
      </c>
      <c r="B132" s="31"/>
      <c r="C132" s="79" t="s">
        <v>75</v>
      </c>
      <c r="D132" s="226"/>
      <c r="E132" s="82"/>
      <c r="F132" s="251"/>
      <c r="G132" s="59"/>
      <c r="H132" s="83"/>
      <c r="I132" s="31"/>
      <c r="J132" s="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2" customHeight="1" x14ac:dyDescent="0.2">
      <c r="A133" s="29"/>
      <c r="B133" s="31"/>
      <c r="C133" s="79"/>
      <c r="D133" s="231"/>
      <c r="E133" s="82"/>
      <c r="F133" s="251"/>
      <c r="G133" s="59"/>
      <c r="H133" s="83"/>
      <c r="I133" s="31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2" customHeight="1" x14ac:dyDescent="0.2">
      <c r="A134" s="28" t="s">
        <v>100</v>
      </c>
      <c r="B134" s="31"/>
      <c r="C134" s="68" t="s">
        <v>75</v>
      </c>
      <c r="D134" s="226"/>
      <c r="E134" s="65"/>
      <c r="F134" s="274"/>
      <c r="G134" s="84"/>
      <c r="H134" s="32"/>
      <c r="I134" s="31"/>
      <c r="J134" s="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2" customHeight="1" x14ac:dyDescent="0.2">
      <c r="A135" s="29"/>
      <c r="B135" s="31"/>
      <c r="C135" s="31"/>
      <c r="D135" s="240"/>
      <c r="E135" s="58"/>
      <c r="F135" s="263"/>
      <c r="G135" s="51"/>
      <c r="H135" s="32"/>
      <c r="I135" s="31"/>
      <c r="J135" s="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2" customHeight="1" x14ac:dyDescent="0.2">
      <c r="A136" s="27" t="s">
        <v>101</v>
      </c>
      <c r="B136" s="31"/>
      <c r="C136" s="31" t="s">
        <v>75</v>
      </c>
      <c r="D136" s="226"/>
      <c r="E136" s="65"/>
      <c r="F136" s="264"/>
      <c r="G136" s="62"/>
      <c r="H136" s="66"/>
      <c r="I136" s="31"/>
      <c r="J136" s="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2" customHeight="1" x14ac:dyDescent="0.2">
      <c r="A137" s="27"/>
      <c r="B137" s="31"/>
      <c r="C137" s="31"/>
      <c r="D137" s="241"/>
      <c r="E137" s="62"/>
      <c r="F137" s="272"/>
      <c r="G137" s="62"/>
      <c r="H137" s="44"/>
      <c r="I137" s="31"/>
      <c r="J137" s="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2" customHeight="1" x14ac:dyDescent="0.2">
      <c r="A138" s="27" t="s">
        <v>102</v>
      </c>
      <c r="B138" s="31" t="s">
        <v>10</v>
      </c>
      <c r="C138" s="31" t="s">
        <v>103</v>
      </c>
      <c r="D138" s="226"/>
      <c r="E138" s="72" t="s">
        <v>29</v>
      </c>
      <c r="F138" s="226"/>
      <c r="G138" s="65"/>
      <c r="H138" s="85"/>
      <c r="I138" s="31"/>
      <c r="J138" s="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2" customHeight="1" x14ac:dyDescent="0.2">
      <c r="A139" s="24" t="s">
        <v>104</v>
      </c>
      <c r="B139" s="31" t="s">
        <v>14</v>
      </c>
      <c r="C139" s="31" t="s">
        <v>103</v>
      </c>
      <c r="D139" s="226"/>
      <c r="E139" s="72" t="s">
        <v>29</v>
      </c>
      <c r="F139" s="226"/>
      <c r="G139" s="65"/>
      <c r="H139" s="85"/>
      <c r="I139" s="3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2" customHeight="1" x14ac:dyDescent="0.2">
      <c r="A140" s="27"/>
      <c r="B140" s="31" t="s">
        <v>15</v>
      </c>
      <c r="C140" s="31" t="s">
        <v>103</v>
      </c>
      <c r="D140" s="226"/>
      <c r="E140" s="72" t="s">
        <v>29</v>
      </c>
      <c r="F140" s="226"/>
      <c r="G140" s="65"/>
      <c r="H140" s="85"/>
      <c r="I140" s="31"/>
      <c r="J140" s="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2" customHeight="1" x14ac:dyDescent="0.2">
      <c r="A141" s="27"/>
      <c r="B141" s="31" t="s">
        <v>37</v>
      </c>
      <c r="C141" s="31" t="s">
        <v>103</v>
      </c>
      <c r="D141" s="226"/>
      <c r="E141" s="72" t="s">
        <v>29</v>
      </c>
      <c r="F141" s="226"/>
      <c r="G141" s="65"/>
      <c r="H141" s="85"/>
      <c r="I141" s="31"/>
      <c r="J141" s="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2" customHeight="1" x14ac:dyDescent="0.2">
      <c r="A142" s="27"/>
      <c r="B142" s="31" t="s">
        <v>38</v>
      </c>
      <c r="C142" s="31" t="s">
        <v>103</v>
      </c>
      <c r="D142" s="226"/>
      <c r="E142" s="72" t="s">
        <v>29</v>
      </c>
      <c r="F142" s="226"/>
      <c r="G142" s="65"/>
      <c r="H142" s="85"/>
      <c r="I142" s="31"/>
      <c r="J142" s="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2" customHeight="1" x14ac:dyDescent="0.2">
      <c r="A143" s="27"/>
      <c r="B143" s="31" t="s">
        <v>39</v>
      </c>
      <c r="C143" s="31" t="s">
        <v>103</v>
      </c>
      <c r="D143" s="226"/>
      <c r="E143" s="72" t="s">
        <v>29</v>
      </c>
      <c r="F143" s="226"/>
      <c r="G143" s="65"/>
      <c r="H143" s="85"/>
      <c r="I143" s="31"/>
      <c r="J143" s="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2" customHeight="1" x14ac:dyDescent="0.2">
      <c r="A144" s="27"/>
      <c r="B144" s="31"/>
      <c r="C144" s="31"/>
      <c r="D144" s="231"/>
      <c r="E144" s="62"/>
      <c r="F144" s="78"/>
      <c r="G144" s="62"/>
      <c r="H144" s="85"/>
      <c r="I144" s="31"/>
      <c r="J144" s="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2" customHeight="1" x14ac:dyDescent="0.2">
      <c r="A145" s="27" t="s">
        <v>105</v>
      </c>
      <c r="B145" s="31"/>
      <c r="C145" s="31" t="s">
        <v>106</v>
      </c>
      <c r="D145" s="242"/>
      <c r="E145" s="62"/>
      <c r="F145" s="62"/>
      <c r="G145" s="62"/>
      <c r="H145" s="44"/>
      <c r="I145" s="31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2" customHeight="1" x14ac:dyDescent="0.2">
      <c r="A146" s="29" t="s">
        <v>107</v>
      </c>
      <c r="B146" s="31"/>
      <c r="C146" s="31" t="s">
        <v>108</v>
      </c>
      <c r="D146" s="226"/>
      <c r="E146" s="86" t="s">
        <v>109</v>
      </c>
      <c r="F146" s="87"/>
      <c r="G146" s="88"/>
      <c r="H146" s="63"/>
      <c r="I146" s="31"/>
      <c r="J146" s="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2" customHeight="1" x14ac:dyDescent="0.2">
      <c r="A147" s="69"/>
      <c r="B147" s="62"/>
      <c r="C147" s="68" t="s">
        <v>110</v>
      </c>
      <c r="D147" s="226"/>
      <c r="E147" s="74" t="s">
        <v>109</v>
      </c>
      <c r="F147" s="67"/>
      <c r="G147" s="62"/>
      <c r="H147" s="63"/>
      <c r="I147" s="31"/>
      <c r="J147" s="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2" customHeight="1" x14ac:dyDescent="0.2">
      <c r="A148" s="69"/>
      <c r="B148" s="62"/>
      <c r="C148" s="62"/>
      <c r="D148" s="243"/>
      <c r="E148" s="62"/>
      <c r="F148" s="75"/>
      <c r="G148" s="62"/>
      <c r="H148" s="89"/>
      <c r="I148" s="31"/>
      <c r="J148" s="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2" customHeight="1" x14ac:dyDescent="0.2">
      <c r="A149" s="90" t="s">
        <v>111</v>
      </c>
      <c r="B149" s="62"/>
      <c r="C149" s="62"/>
      <c r="D149" s="244"/>
      <c r="E149" s="62"/>
      <c r="F149" s="62"/>
      <c r="G149" s="62"/>
      <c r="H149" s="91"/>
      <c r="I149" s="92"/>
      <c r="J149" s="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2" customHeight="1" x14ac:dyDescent="0.2">
      <c r="A150" s="69" t="s">
        <v>112</v>
      </c>
      <c r="B150" s="62"/>
      <c r="C150" s="68" t="s">
        <v>75</v>
      </c>
      <c r="D150" s="226"/>
      <c r="E150" s="65"/>
      <c r="F150" s="62"/>
      <c r="G150" s="62"/>
      <c r="H150" s="93"/>
      <c r="I150" s="31"/>
      <c r="J150" s="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2" customHeight="1" x14ac:dyDescent="0.2">
      <c r="A151" s="69" t="s">
        <v>113</v>
      </c>
      <c r="B151" s="62"/>
      <c r="C151" s="68" t="s">
        <v>75</v>
      </c>
      <c r="D151" s="226"/>
      <c r="E151" s="65"/>
      <c r="F151" s="62"/>
      <c r="G151" s="62"/>
      <c r="H151" s="94"/>
      <c r="I151" s="31"/>
      <c r="J151" s="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2" customHeight="1" x14ac:dyDescent="0.2">
      <c r="A152" s="67"/>
      <c r="B152" s="62"/>
      <c r="C152" s="62"/>
      <c r="D152" s="245"/>
      <c r="E152" s="62"/>
      <c r="F152" s="62"/>
      <c r="G152" s="62"/>
      <c r="H152" s="94"/>
      <c r="I152" s="31"/>
      <c r="J152" s="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2" customHeight="1" x14ac:dyDescent="0.2">
      <c r="A153" s="90" t="s">
        <v>114</v>
      </c>
      <c r="B153" s="62"/>
      <c r="C153" s="68" t="s">
        <v>75</v>
      </c>
      <c r="D153" s="226"/>
      <c r="E153" s="95"/>
      <c r="F153" s="67"/>
      <c r="G153" s="67"/>
      <c r="H153" s="96"/>
      <c r="I153" s="31"/>
      <c r="J153" s="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2" customHeight="1" x14ac:dyDescent="0.2">
      <c r="A154" s="67"/>
      <c r="B154" s="62"/>
      <c r="C154" s="62"/>
      <c r="D154" s="245"/>
      <c r="E154" s="67"/>
      <c r="F154" s="67"/>
      <c r="G154" s="67"/>
      <c r="H154" s="96"/>
      <c r="I154" s="31"/>
      <c r="J154" s="8"/>
      <c r="K154" s="9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2" customHeight="1" x14ac:dyDescent="0.2">
      <c r="A155" s="90" t="s">
        <v>115</v>
      </c>
      <c r="B155" s="62"/>
      <c r="C155" s="68" t="s">
        <v>75</v>
      </c>
      <c r="D155" s="226"/>
      <c r="E155" s="97"/>
      <c r="F155" s="98"/>
      <c r="G155" s="98"/>
      <c r="H155" s="99"/>
      <c r="I155" s="31"/>
      <c r="J155" s="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2" customHeight="1" x14ac:dyDescent="0.2">
      <c r="A156" s="67"/>
      <c r="B156" s="62"/>
      <c r="C156" s="62"/>
      <c r="D156" s="245"/>
      <c r="E156" s="62"/>
      <c r="F156" s="75"/>
      <c r="G156" s="67"/>
      <c r="H156" s="94"/>
      <c r="I156" s="31"/>
      <c r="J156" s="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2" customHeight="1" x14ac:dyDescent="0.2">
      <c r="A157" s="90" t="s">
        <v>116</v>
      </c>
      <c r="B157" s="62"/>
      <c r="C157" s="68" t="s">
        <v>117</v>
      </c>
      <c r="D157" s="226"/>
      <c r="E157" s="95"/>
      <c r="F157" s="100"/>
      <c r="G157" s="62"/>
      <c r="H157" s="101"/>
      <c r="I157" s="31"/>
      <c r="J157" s="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2" customHeight="1" x14ac:dyDescent="0.2">
      <c r="A158" s="90"/>
      <c r="B158" s="62"/>
      <c r="C158" s="62"/>
      <c r="D158" s="239"/>
      <c r="E158" s="62"/>
      <c r="F158" s="102"/>
      <c r="G158" s="62"/>
      <c r="H158" s="103"/>
      <c r="I158" s="31"/>
      <c r="J158" s="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2" customHeight="1" x14ac:dyDescent="0.2">
      <c r="A159" s="90" t="s">
        <v>118</v>
      </c>
      <c r="B159" s="62"/>
      <c r="C159" s="68" t="s">
        <v>119</v>
      </c>
      <c r="D159" s="246"/>
      <c r="E159" s="95"/>
      <c r="F159" s="67"/>
      <c r="G159" s="102"/>
      <c r="H159" s="104"/>
      <c r="I159" s="31"/>
      <c r="J159" s="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2" customHeight="1" x14ac:dyDescent="0.2">
      <c r="A160" s="90"/>
      <c r="B160" s="62"/>
      <c r="C160" s="62"/>
      <c r="D160" s="247"/>
      <c r="E160" s="67"/>
      <c r="F160" s="67"/>
      <c r="G160" s="102"/>
      <c r="H160" s="105"/>
      <c r="I160" s="31"/>
      <c r="J160" s="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2" customHeight="1" x14ac:dyDescent="0.2">
      <c r="A161" s="90" t="s">
        <v>120</v>
      </c>
      <c r="B161" s="62"/>
      <c r="C161" s="68" t="s">
        <v>119</v>
      </c>
      <c r="D161" s="246"/>
      <c r="E161" s="95" t="s">
        <v>121</v>
      </c>
      <c r="F161" s="67"/>
      <c r="G161" s="67"/>
      <c r="H161" s="26"/>
      <c r="I161" s="4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2" customHeight="1" x14ac:dyDescent="0.2">
      <c r="A162" s="90"/>
      <c r="B162" s="62"/>
      <c r="C162" s="62"/>
      <c r="D162" s="247"/>
      <c r="E162" s="67"/>
      <c r="F162" s="67"/>
      <c r="G162" s="67"/>
      <c r="H162" s="26"/>
      <c r="I162" s="4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2" customHeight="1" x14ac:dyDescent="0.2">
      <c r="A163" s="90" t="s">
        <v>122</v>
      </c>
      <c r="B163" s="62"/>
      <c r="C163" s="68" t="s">
        <v>75</v>
      </c>
      <c r="D163" s="226"/>
      <c r="E163" s="74" t="s">
        <v>123</v>
      </c>
      <c r="F163" s="62"/>
      <c r="G163" s="62"/>
      <c r="H163" s="44"/>
      <c r="I163" s="45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2" customHeight="1" x14ac:dyDescent="0.2">
      <c r="A164" s="67"/>
      <c r="B164" s="62"/>
      <c r="C164" s="62"/>
      <c r="D164" s="245"/>
      <c r="E164" s="62"/>
      <c r="F164" s="62"/>
      <c r="G164" s="62"/>
      <c r="H164" s="106"/>
      <c r="I164" s="31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2" customHeight="1" x14ac:dyDescent="0.2">
      <c r="A165" s="107" t="s">
        <v>124</v>
      </c>
      <c r="B165" s="62"/>
      <c r="C165" s="108" t="s">
        <v>49</v>
      </c>
      <c r="D165" s="226"/>
      <c r="E165" s="74" t="s">
        <v>125</v>
      </c>
      <c r="F165" s="62"/>
      <c r="G165" s="62"/>
      <c r="H165" s="106"/>
      <c r="I165" s="31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2" customHeight="1" x14ac:dyDescent="0.2">
      <c r="A166" s="67"/>
      <c r="B166" s="62"/>
      <c r="C166" s="62"/>
      <c r="D166" s="239"/>
      <c r="E166" s="62"/>
      <c r="F166" s="62"/>
      <c r="G166" s="62"/>
      <c r="H166" s="106"/>
      <c r="I166" s="31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2" customHeight="1" x14ac:dyDescent="0.2">
      <c r="A167" s="107" t="s">
        <v>126</v>
      </c>
      <c r="B167" s="62"/>
      <c r="C167" s="108" t="s">
        <v>49</v>
      </c>
      <c r="D167" s="226"/>
      <c r="E167" s="74" t="s">
        <v>125</v>
      </c>
      <c r="F167" s="62"/>
      <c r="G167" s="62"/>
      <c r="H167" s="106"/>
      <c r="I167" s="31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2" customHeight="1" x14ac:dyDescent="0.2">
      <c r="A168" s="27"/>
      <c r="B168" s="31"/>
      <c r="C168" s="60"/>
      <c r="D168" s="231"/>
      <c r="E168" s="45"/>
      <c r="F168" s="76"/>
      <c r="G168" s="76"/>
      <c r="H168" s="106"/>
      <c r="I168" s="31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2" customHeight="1" x14ac:dyDescent="0.2">
      <c r="A169" s="49" t="s">
        <v>690</v>
      </c>
      <c r="B169" s="31"/>
      <c r="C169" s="109"/>
      <c r="D169" s="226"/>
      <c r="E169" s="74" t="s">
        <v>127</v>
      </c>
      <c r="F169" s="62"/>
      <c r="G169" s="62"/>
      <c r="H169" s="44"/>
      <c r="I169" s="31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2" customHeight="1" x14ac:dyDescent="0.2">
      <c r="A170" s="24"/>
      <c r="B170" s="31"/>
      <c r="C170" s="110"/>
      <c r="D170" s="237"/>
      <c r="E170" s="77"/>
      <c r="F170" s="77"/>
      <c r="G170" s="77"/>
      <c r="H170" s="44"/>
      <c r="I170" s="31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2" customHeight="1" x14ac:dyDescent="0.2">
      <c r="A171" s="111" t="s">
        <v>128</v>
      </c>
      <c r="B171" s="112"/>
      <c r="C171" s="113" t="str">
        <f>IF(AND(D165&gt;0,D167&gt;0),Calculations!L424,"DATA NEEDED")</f>
        <v>DATA NEEDED</v>
      </c>
      <c r="D171" s="248"/>
      <c r="E171" s="31"/>
      <c r="F171" s="31"/>
      <c r="G171" s="31"/>
      <c r="H171" s="112"/>
      <c r="I171" s="25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2" customHeight="1" x14ac:dyDescent="0.2">
      <c r="A172" s="114" t="s">
        <v>129</v>
      </c>
      <c r="B172" s="115"/>
      <c r="C172" s="116">
        <f>Calculations!F374</f>
        <v>0</v>
      </c>
      <c r="D172" s="249"/>
      <c r="E172" s="117"/>
      <c r="F172" s="110"/>
      <c r="G172" s="110"/>
      <c r="H172" s="115"/>
      <c r="I172" s="31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2" customHeight="1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2" customHeight="1" x14ac:dyDescent="0.2">
      <c r="A174" s="25" t="s">
        <v>130</v>
      </c>
      <c r="B174" s="25"/>
      <c r="C174" s="25"/>
      <c r="D174" s="25"/>
      <c r="E174" s="25"/>
      <c r="F174" s="25"/>
      <c r="G174" s="25"/>
      <c r="H174" s="25"/>
      <c r="I174" s="2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2" customHeight="1" x14ac:dyDescent="0.2">
      <c r="A175" s="25" t="s">
        <v>131</v>
      </c>
      <c r="B175" s="25"/>
      <c r="C175" s="25"/>
      <c r="D175" s="25"/>
      <c r="E175" s="25"/>
      <c r="F175" s="25"/>
      <c r="G175" s="25"/>
      <c r="H175" s="25"/>
      <c r="I175" s="2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2" customHeight="1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2" customHeight="1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2" customHeight="1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2" customHeight="1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2" customHeight="1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2" customHeight="1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2" customHeight="1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2" customHeight="1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2" customHeight="1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2" customHeight="1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2" customHeight="1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2" customHeight="1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2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2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2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2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2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2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2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2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2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2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2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2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2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2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2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2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2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2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2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2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2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2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2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2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2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2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2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2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2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2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2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2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2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2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2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2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2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2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2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2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2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2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2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2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2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2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2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2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2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2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2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2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2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2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2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2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2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2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2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2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2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2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2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2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2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2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2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2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2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2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2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2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2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2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2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2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2" customHeight="1" x14ac:dyDescent="0.2">
      <c r="A264" s="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2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2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2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2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2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2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2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2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2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2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2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2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2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2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2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2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2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2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2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2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2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2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2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2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2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2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2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2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2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2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2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2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2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2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2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2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2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2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2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2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2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2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2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2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2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2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2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2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2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2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2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2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2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2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2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2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2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2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2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2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2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2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2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2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2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2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2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2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2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2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2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2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2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2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2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2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2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2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2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2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2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2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2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2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2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2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2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2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2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2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2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2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2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2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2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2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2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2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2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2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2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2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2" customHeight="1" x14ac:dyDescent="0.2">
      <c r="A367" s="1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2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2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2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2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2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2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2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2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2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2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2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2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2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2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2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2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2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2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2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2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2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2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2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2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2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2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2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2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2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2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2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2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2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2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2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2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2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2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2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2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2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2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2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2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2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2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2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2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2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2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2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2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2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2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2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2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2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2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2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2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2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2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2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2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2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2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2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2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2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2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2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2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2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2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2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2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2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2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2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2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2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2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2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2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2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2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2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2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2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2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2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2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2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2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2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2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2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2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2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2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2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2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2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2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2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2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2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2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2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2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2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2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2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2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2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2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2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2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2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2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2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2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2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2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2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2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2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2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2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2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2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2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2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2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2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2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2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2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2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2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2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2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2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2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2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2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2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2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2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2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2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2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2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2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2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2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2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2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2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2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2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2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2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2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2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2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2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2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2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2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2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2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2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2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2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2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2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2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2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2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2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2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2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2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2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2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2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2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2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2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2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2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2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2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2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2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2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2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2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2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2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2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2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2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2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2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2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2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2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2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2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2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2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2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2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2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2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2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2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2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2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2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2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2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2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2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2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2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2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2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2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2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2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2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2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2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2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2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2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2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2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2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2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2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2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2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2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2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2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2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2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2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2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2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2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2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2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2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2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2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2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2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2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2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2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2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2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2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2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2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2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2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2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2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2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2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2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2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2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2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2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2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2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2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2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2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2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2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2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2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2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2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2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2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2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2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2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2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2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2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2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2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2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2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2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2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2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2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2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2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2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2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2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2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2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2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2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2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2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2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2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2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2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2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2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2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2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2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2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2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2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2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2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2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2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2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2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2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2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2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2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2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2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2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2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2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2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2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2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2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2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2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2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2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2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2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2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2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2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2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2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2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2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2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2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2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2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2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2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2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2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2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2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2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2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2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2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2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2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2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2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2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2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2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2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2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2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2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2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2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2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2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2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2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2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2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2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2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2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2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2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2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2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2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2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2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2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2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2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2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2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2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2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2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2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2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2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2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2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2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2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2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2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2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2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2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2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2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2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2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2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2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2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2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2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2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2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2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2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2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2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2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2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2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2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2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2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2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2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2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2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2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2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2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2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2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2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2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2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2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2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2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2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2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2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2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2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2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2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2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2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2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2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2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2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2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2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2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2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2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2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2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2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2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2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2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2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2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2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2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2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2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2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2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2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2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2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2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2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2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2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2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2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2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2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2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2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2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2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2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2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2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2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2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2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2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2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2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2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2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2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2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2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2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2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2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2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2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2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2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2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2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2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2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2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2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2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2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2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2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2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2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2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2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2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2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2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2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2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2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2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2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2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2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2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2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2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2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2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2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2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2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2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2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2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2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2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2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2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2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2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2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2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2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2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2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2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2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2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2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2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2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2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2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2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2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2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2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2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2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2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2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2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2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2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2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2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2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2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2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2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2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2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2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2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2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2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2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2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2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2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2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2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2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2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2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2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2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2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2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2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2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2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2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2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2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2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2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2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2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2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2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2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sheetProtection algorithmName="SHA-512" hashValue="N3p+Fm6vVb/87+/Rb6nfoLUTPMFVEUV9uQYPXOEUwzLsHct3PBTacFzQRDMmhb93DXsj2eWQZ4pbpT3MJZhVfQ==" saltValue="MJ2mI1srxJo8HoQYe4kDnw==" spinCount="100000" sheet="1" objects="1" scenarios="1" selectLockedCells="1"/>
  <dataValidations count="3">
    <dataValidation type="custom" allowBlank="1" showInputMessage="1" showErrorMessage="1" prompt="Incorrect entry! - Enter only x in this cell.  No numbers!" sqref="F121 F123 F125 F127 F129" xr:uid="{00000000-0002-0000-0000-000000000000}">
      <formula1>AND(GTE(LEN(F121),MIN((1),(1))),LTE(LEN(F121),MAX((1),(1))))</formula1>
    </dataValidation>
    <dataValidation type="custom" allowBlank="1" showInputMessage="1" showErrorMessage="1" prompt="Incorrect entry! - Enter only X in this cell.  No numbers." sqref="D121 D123 D125 D127 D129" xr:uid="{00000000-0002-0000-0000-000001000000}">
      <formula1>AND(GTE(LEN(D121),MIN((1),(1))),LTE(LEN(D121),MAX((1),(1))))</formula1>
    </dataValidation>
    <dataValidation type="custom" allowBlank="1" showInputMessage="1" showErrorMessage="1" prompt="Incorrect entry! - Enter only X in this cell.  No numbers!" sqref="H121 H123 H125 H127 H129 D169" xr:uid="{00000000-0002-0000-0000-000002000000}">
      <formula1>AND(GTE(LEN(D121),MIN((1),(1))),LTE(LEN(D121),MAX((1),(1))))</formula1>
    </dataValidation>
  </dataValidations>
  <printOptions gridLines="1"/>
  <pageMargins left="0.75" right="0.75" top="1" bottom="1" header="0" footer="0"/>
  <pageSetup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1000"/>
  <sheetViews>
    <sheetView workbookViewId="0">
      <selection activeCell="F17" sqref="F17"/>
    </sheetView>
  </sheetViews>
  <sheetFormatPr defaultColWidth="14.42578125" defaultRowHeight="15" customHeight="1" x14ac:dyDescent="0.2"/>
  <cols>
    <col min="1" max="1" width="25.28515625" customWidth="1"/>
    <col min="2" max="2" width="3.85546875" customWidth="1"/>
    <col min="3" max="3" width="13.140625" customWidth="1"/>
    <col min="4" max="4" width="7.7109375" customWidth="1"/>
    <col min="5" max="5" width="12.140625" customWidth="1"/>
    <col min="6" max="6" width="7.7109375" customWidth="1"/>
    <col min="7" max="7" width="14" customWidth="1"/>
    <col min="8" max="8" width="7.7109375" customWidth="1"/>
    <col min="9" max="9" width="11" customWidth="1"/>
    <col min="10" max="26" width="8.7109375" customWidth="1"/>
  </cols>
  <sheetData>
    <row r="1" spans="1:11" ht="12" customHeight="1" x14ac:dyDescent="0.2">
      <c r="A1" s="12" t="s">
        <v>620</v>
      </c>
    </row>
    <row r="2" spans="1:11" ht="12" customHeight="1" x14ac:dyDescent="0.2">
      <c r="A2" s="12" t="s">
        <v>621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" customHeight="1" x14ac:dyDescent="0.2">
      <c r="A3" s="4" t="s">
        <v>622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2" customHeight="1" x14ac:dyDescent="0.2">
      <c r="A5" s="12" t="s">
        <v>623</v>
      </c>
      <c r="B5" s="4"/>
      <c r="C5" s="4"/>
      <c r="D5" s="4"/>
      <c r="E5" s="4"/>
      <c r="F5" s="4"/>
      <c r="G5" s="4"/>
      <c r="H5" s="4"/>
      <c r="I5" s="4"/>
      <c r="J5" s="5" t="s">
        <v>624</v>
      </c>
      <c r="K5" s="5" t="s">
        <v>328</v>
      </c>
    </row>
    <row r="6" spans="1:11" ht="12" customHeight="1" x14ac:dyDescent="0.2">
      <c r="A6" s="4"/>
      <c r="B6" s="4"/>
      <c r="C6" s="4"/>
      <c r="D6" s="4"/>
      <c r="E6" s="4"/>
      <c r="F6" s="4"/>
      <c r="G6" s="4"/>
      <c r="H6" s="4"/>
      <c r="I6" s="4"/>
      <c r="J6" s="5" t="s">
        <v>625</v>
      </c>
      <c r="K6" s="5" t="s">
        <v>626</v>
      </c>
    </row>
    <row r="7" spans="1:11" ht="12" customHeight="1" x14ac:dyDescent="0.2">
      <c r="A7" s="4"/>
      <c r="B7" s="4" t="s">
        <v>10</v>
      </c>
      <c r="C7" s="5" t="s">
        <v>11</v>
      </c>
      <c r="D7" s="19">
        <f>Input!D17</f>
        <v>0</v>
      </c>
      <c r="E7" s="5" t="s">
        <v>12</v>
      </c>
      <c r="F7" s="20">
        <f>Input!F17</f>
        <v>0</v>
      </c>
      <c r="G7" s="5" t="s">
        <v>627</v>
      </c>
      <c r="H7" s="20">
        <f>Input!H17</f>
        <v>0</v>
      </c>
      <c r="I7" s="4" t="s">
        <v>628</v>
      </c>
      <c r="J7" s="5">
        <f t="shared" ref="J7:J21" si="0">(F7*H7*D7)/2</f>
        <v>0</v>
      </c>
      <c r="K7" s="5">
        <f t="shared" ref="K7:K21" si="1">(F7+2.3*H7)*D7</f>
        <v>0</v>
      </c>
    </row>
    <row r="8" spans="1:11" ht="12" customHeight="1" x14ac:dyDescent="0.2">
      <c r="A8" s="4"/>
      <c r="B8" s="4" t="s">
        <v>14</v>
      </c>
      <c r="C8" s="5" t="s">
        <v>11</v>
      </c>
      <c r="D8" s="19">
        <f>Input!D18</f>
        <v>0</v>
      </c>
      <c r="E8" s="5" t="s">
        <v>12</v>
      </c>
      <c r="F8" s="20">
        <f>Input!F18</f>
        <v>0</v>
      </c>
      <c r="G8" s="5" t="s">
        <v>627</v>
      </c>
      <c r="H8" s="20">
        <f>Input!H18</f>
        <v>0</v>
      </c>
      <c r="I8" s="4" t="s">
        <v>629</v>
      </c>
      <c r="J8" s="5">
        <f t="shared" si="0"/>
        <v>0</v>
      </c>
      <c r="K8" s="5">
        <f t="shared" si="1"/>
        <v>0</v>
      </c>
    </row>
    <row r="9" spans="1:11" ht="12" customHeight="1" x14ac:dyDescent="0.2">
      <c r="A9" s="4"/>
      <c r="B9" s="4" t="s">
        <v>15</v>
      </c>
      <c r="C9" s="5" t="s">
        <v>11</v>
      </c>
      <c r="D9" s="19">
        <f>Input!D19</f>
        <v>0</v>
      </c>
      <c r="E9" s="5" t="s">
        <v>12</v>
      </c>
      <c r="F9" s="20">
        <f>Input!F19</f>
        <v>0</v>
      </c>
      <c r="G9" s="5" t="s">
        <v>627</v>
      </c>
      <c r="H9" s="20">
        <f>Input!H19</f>
        <v>0</v>
      </c>
      <c r="I9" s="4"/>
      <c r="J9" s="5">
        <f t="shared" si="0"/>
        <v>0</v>
      </c>
      <c r="K9" s="5">
        <f t="shared" si="1"/>
        <v>0</v>
      </c>
    </row>
    <row r="10" spans="1:11" ht="12" customHeight="1" x14ac:dyDescent="0.2">
      <c r="A10" s="4"/>
      <c r="B10" s="4" t="s">
        <v>37</v>
      </c>
      <c r="C10" s="5" t="s">
        <v>11</v>
      </c>
      <c r="D10" s="291"/>
      <c r="E10" s="5" t="s">
        <v>12</v>
      </c>
      <c r="F10" s="292"/>
      <c r="G10" s="5" t="s">
        <v>17</v>
      </c>
      <c r="H10" s="292"/>
      <c r="I10" s="4" t="s">
        <v>630</v>
      </c>
      <c r="J10" s="5">
        <f t="shared" si="0"/>
        <v>0</v>
      </c>
      <c r="K10" s="5">
        <f t="shared" si="1"/>
        <v>0</v>
      </c>
    </row>
    <row r="11" spans="1:11" ht="12" customHeight="1" x14ac:dyDescent="0.2">
      <c r="A11" s="4"/>
      <c r="B11" s="4" t="s">
        <v>38</v>
      </c>
      <c r="C11" s="5" t="s">
        <v>11</v>
      </c>
      <c r="D11" s="291"/>
      <c r="E11" s="5" t="s">
        <v>12</v>
      </c>
      <c r="F11" s="292"/>
      <c r="G11" s="5" t="s">
        <v>17</v>
      </c>
      <c r="H11" s="292"/>
      <c r="I11" s="4" t="s">
        <v>631</v>
      </c>
      <c r="J11" s="5">
        <f t="shared" si="0"/>
        <v>0</v>
      </c>
      <c r="K11" s="5">
        <f t="shared" si="1"/>
        <v>0</v>
      </c>
    </row>
    <row r="12" spans="1:11" ht="12" customHeight="1" x14ac:dyDescent="0.2">
      <c r="A12" s="4"/>
      <c r="B12" s="4" t="s">
        <v>39</v>
      </c>
      <c r="C12" s="5" t="s">
        <v>11</v>
      </c>
      <c r="D12" s="291"/>
      <c r="E12" s="5" t="s">
        <v>12</v>
      </c>
      <c r="F12" s="292"/>
      <c r="G12" s="5" t="s">
        <v>17</v>
      </c>
      <c r="H12" s="292"/>
      <c r="I12" s="4"/>
      <c r="J12" s="5">
        <f t="shared" si="0"/>
        <v>0</v>
      </c>
      <c r="K12" s="5">
        <f t="shared" si="1"/>
        <v>0</v>
      </c>
    </row>
    <row r="13" spans="1:11" ht="12" customHeight="1" x14ac:dyDescent="0.2">
      <c r="A13" s="4"/>
      <c r="B13" s="4" t="s">
        <v>40</v>
      </c>
      <c r="C13" s="5" t="s">
        <v>11</v>
      </c>
      <c r="D13" s="291"/>
      <c r="E13" s="5" t="s">
        <v>12</v>
      </c>
      <c r="F13" s="292"/>
      <c r="G13" s="5" t="s">
        <v>17</v>
      </c>
      <c r="H13" s="292"/>
      <c r="I13" s="4"/>
      <c r="J13" s="5">
        <f t="shared" si="0"/>
        <v>0</v>
      </c>
      <c r="K13" s="5">
        <f t="shared" si="1"/>
        <v>0</v>
      </c>
    </row>
    <row r="14" spans="1:11" ht="12" customHeight="1" x14ac:dyDescent="0.2">
      <c r="A14" s="4"/>
      <c r="B14" s="4" t="s">
        <v>41</v>
      </c>
      <c r="C14" s="5" t="s">
        <v>11</v>
      </c>
      <c r="D14" s="291"/>
      <c r="E14" s="5" t="s">
        <v>12</v>
      </c>
      <c r="F14" s="292"/>
      <c r="G14" s="5" t="s">
        <v>17</v>
      </c>
      <c r="H14" s="292"/>
      <c r="I14" s="4"/>
      <c r="J14" s="5">
        <f t="shared" si="0"/>
        <v>0</v>
      </c>
      <c r="K14" s="5">
        <f t="shared" si="1"/>
        <v>0</v>
      </c>
    </row>
    <row r="15" spans="1:11" ht="12" customHeight="1" x14ac:dyDescent="0.2">
      <c r="A15" s="4"/>
      <c r="B15" s="4" t="s">
        <v>42</v>
      </c>
      <c r="C15" s="5" t="s">
        <v>11</v>
      </c>
      <c r="D15" s="291"/>
      <c r="E15" s="5" t="s">
        <v>12</v>
      </c>
      <c r="F15" s="292"/>
      <c r="G15" s="5" t="s">
        <v>17</v>
      </c>
      <c r="H15" s="292"/>
      <c r="I15" s="4"/>
      <c r="J15" s="5">
        <f t="shared" si="0"/>
        <v>0</v>
      </c>
      <c r="K15" s="5">
        <f t="shared" si="1"/>
        <v>0</v>
      </c>
    </row>
    <row r="16" spans="1:11" ht="12" customHeight="1" x14ac:dyDescent="0.2">
      <c r="A16" s="4"/>
      <c r="B16" s="4" t="s">
        <v>43</v>
      </c>
      <c r="C16" s="5" t="s">
        <v>11</v>
      </c>
      <c r="D16" s="291"/>
      <c r="E16" s="5" t="s">
        <v>12</v>
      </c>
      <c r="F16" s="292"/>
      <c r="G16" s="5" t="s">
        <v>17</v>
      </c>
      <c r="H16" s="292"/>
      <c r="I16" s="4"/>
      <c r="J16" s="5">
        <f t="shared" si="0"/>
        <v>0</v>
      </c>
      <c r="K16" s="5">
        <f t="shared" si="1"/>
        <v>0</v>
      </c>
    </row>
    <row r="17" spans="1:11" ht="12" customHeight="1" x14ac:dyDescent="0.2">
      <c r="A17" s="4"/>
      <c r="B17" s="4" t="s">
        <v>632</v>
      </c>
      <c r="C17" s="5" t="s">
        <v>11</v>
      </c>
      <c r="D17" s="291"/>
      <c r="E17" s="5" t="s">
        <v>12</v>
      </c>
      <c r="F17" s="292"/>
      <c r="G17" s="5" t="s">
        <v>17</v>
      </c>
      <c r="H17" s="292"/>
      <c r="I17" s="4"/>
      <c r="J17" s="5">
        <f t="shared" si="0"/>
        <v>0</v>
      </c>
      <c r="K17" s="5">
        <f t="shared" si="1"/>
        <v>0</v>
      </c>
    </row>
    <row r="18" spans="1:11" ht="12" customHeight="1" x14ac:dyDescent="0.2">
      <c r="A18" s="4"/>
      <c r="B18" s="4" t="s">
        <v>633</v>
      </c>
      <c r="C18" s="5" t="s">
        <v>11</v>
      </c>
      <c r="D18" s="291"/>
      <c r="E18" s="5" t="s">
        <v>12</v>
      </c>
      <c r="F18" s="292"/>
      <c r="G18" s="5" t="s">
        <v>17</v>
      </c>
      <c r="H18" s="292"/>
      <c r="I18" s="4"/>
      <c r="J18" s="5">
        <f t="shared" si="0"/>
        <v>0</v>
      </c>
      <c r="K18" s="5">
        <f t="shared" si="1"/>
        <v>0</v>
      </c>
    </row>
    <row r="19" spans="1:11" ht="12" customHeight="1" x14ac:dyDescent="0.2">
      <c r="A19" s="4"/>
      <c r="B19" s="4" t="s">
        <v>634</v>
      </c>
      <c r="C19" s="5" t="s">
        <v>11</v>
      </c>
      <c r="D19" s="291"/>
      <c r="E19" s="5" t="s">
        <v>12</v>
      </c>
      <c r="F19" s="292"/>
      <c r="G19" s="5" t="s">
        <v>627</v>
      </c>
      <c r="H19" s="292"/>
      <c r="I19" s="4"/>
      <c r="J19" s="5">
        <f t="shared" si="0"/>
        <v>0</v>
      </c>
      <c r="K19" s="5">
        <f t="shared" si="1"/>
        <v>0</v>
      </c>
    </row>
    <row r="20" spans="1:11" ht="12" customHeight="1" x14ac:dyDescent="0.2">
      <c r="A20" s="4"/>
      <c r="B20" s="4" t="s">
        <v>635</v>
      </c>
      <c r="C20" s="5" t="s">
        <v>11</v>
      </c>
      <c r="D20" s="291"/>
      <c r="E20" s="5" t="s">
        <v>12</v>
      </c>
      <c r="F20" s="292"/>
      <c r="G20" s="5" t="s">
        <v>627</v>
      </c>
      <c r="H20" s="292"/>
      <c r="I20" s="4"/>
      <c r="J20" s="5">
        <f t="shared" si="0"/>
        <v>0</v>
      </c>
      <c r="K20" s="5">
        <f t="shared" si="1"/>
        <v>0</v>
      </c>
    </row>
    <row r="21" spans="1:11" ht="12" customHeight="1" x14ac:dyDescent="0.2">
      <c r="A21" s="4"/>
      <c r="B21" s="4" t="s">
        <v>636</v>
      </c>
      <c r="C21" s="5" t="s">
        <v>11</v>
      </c>
      <c r="D21" s="291"/>
      <c r="E21" s="5" t="s">
        <v>12</v>
      </c>
      <c r="F21" s="292"/>
      <c r="G21" s="5" t="s">
        <v>627</v>
      </c>
      <c r="H21" s="292"/>
      <c r="I21" s="4"/>
      <c r="J21" s="5">
        <f t="shared" si="0"/>
        <v>0</v>
      </c>
      <c r="K21" s="5">
        <f t="shared" si="1"/>
        <v>0</v>
      </c>
    </row>
    <row r="22" spans="1:11" ht="12" customHeight="1" x14ac:dyDescent="0.2">
      <c r="A22" s="4"/>
      <c r="B22" s="4"/>
      <c r="C22" s="5"/>
      <c r="D22" s="21"/>
      <c r="E22" s="5"/>
      <c r="F22" s="7"/>
      <c r="G22" s="5"/>
      <c r="H22" s="7"/>
      <c r="I22" s="5" t="s">
        <v>327</v>
      </c>
      <c r="J22" s="5">
        <f>SUM(J7:J21)</f>
        <v>0</v>
      </c>
      <c r="K22" s="5">
        <f>SUM(K7:K21)</f>
        <v>0</v>
      </c>
    </row>
    <row r="23" spans="1:11" ht="12" customHeight="1" x14ac:dyDescent="0.2">
      <c r="A23" s="4"/>
      <c r="B23" s="4"/>
      <c r="C23" s="5"/>
      <c r="D23" s="21"/>
      <c r="E23" s="5"/>
      <c r="F23" s="7"/>
      <c r="G23" s="5"/>
      <c r="H23" s="7"/>
      <c r="I23" s="5"/>
      <c r="J23" s="5"/>
      <c r="K23" s="5"/>
    </row>
    <row r="24" spans="1:11" ht="12" customHeight="1" x14ac:dyDescent="0.2">
      <c r="A24" s="12" t="s">
        <v>637</v>
      </c>
      <c r="B24" s="4"/>
      <c r="C24" s="4"/>
      <c r="D24" s="4"/>
      <c r="E24" s="4"/>
      <c r="F24" s="4"/>
      <c r="G24" s="4"/>
      <c r="H24" s="5"/>
      <c r="I24" s="4"/>
      <c r="J24" s="5" t="s">
        <v>328</v>
      </c>
      <c r="K24" s="5"/>
    </row>
    <row r="25" spans="1:11" ht="12" customHeight="1" x14ac:dyDescent="0.2">
      <c r="A25" s="4"/>
      <c r="B25" s="4"/>
      <c r="C25" s="4"/>
      <c r="D25" s="4"/>
      <c r="E25" s="4"/>
      <c r="F25" s="4"/>
      <c r="G25" s="4"/>
      <c r="H25" s="5"/>
      <c r="I25" s="4"/>
      <c r="J25" s="5" t="s">
        <v>626</v>
      </c>
      <c r="K25" s="5"/>
    </row>
    <row r="26" spans="1:11" ht="12" customHeight="1" x14ac:dyDescent="0.2">
      <c r="A26" s="4"/>
      <c r="B26" s="4" t="s">
        <v>10</v>
      </c>
      <c r="C26" s="5" t="s">
        <v>11</v>
      </c>
      <c r="D26" s="19">
        <f>Input!D22</f>
        <v>0</v>
      </c>
      <c r="E26" s="5" t="s">
        <v>12</v>
      </c>
      <c r="F26" s="20">
        <f>Input!F22</f>
        <v>0</v>
      </c>
      <c r="G26" s="4" t="s">
        <v>628</v>
      </c>
      <c r="H26" s="5"/>
      <c r="I26" s="4"/>
      <c r="J26" s="5">
        <f t="shared" ref="J26:J35" si="2">D26*F26</f>
        <v>0</v>
      </c>
      <c r="K26" s="5"/>
    </row>
    <row r="27" spans="1:11" ht="12" customHeight="1" x14ac:dyDescent="0.2">
      <c r="A27" s="4"/>
      <c r="B27" s="4" t="s">
        <v>14</v>
      </c>
      <c r="C27" s="5" t="s">
        <v>11</v>
      </c>
      <c r="D27" s="19">
        <f>Input!D23</f>
        <v>0</v>
      </c>
      <c r="E27" s="5" t="s">
        <v>12</v>
      </c>
      <c r="F27" s="20">
        <f>Input!F23</f>
        <v>0</v>
      </c>
      <c r="G27" s="4" t="s">
        <v>629</v>
      </c>
      <c r="H27" s="5"/>
      <c r="I27" s="4"/>
      <c r="J27" s="5">
        <f t="shared" si="2"/>
        <v>0</v>
      </c>
      <c r="K27" s="5"/>
    </row>
    <row r="28" spans="1:11" ht="12" customHeight="1" x14ac:dyDescent="0.2">
      <c r="A28" s="4"/>
      <c r="B28" s="4" t="s">
        <v>15</v>
      </c>
      <c r="C28" s="5" t="s">
        <v>11</v>
      </c>
      <c r="D28" s="19">
        <f>Input!D24</f>
        <v>0</v>
      </c>
      <c r="E28" s="5" t="s">
        <v>12</v>
      </c>
      <c r="F28" s="20">
        <f>Input!F24</f>
        <v>0</v>
      </c>
      <c r="G28" s="4"/>
      <c r="H28" s="5"/>
      <c r="I28" s="4"/>
      <c r="J28" s="5">
        <f t="shared" si="2"/>
        <v>0</v>
      </c>
      <c r="K28" s="5"/>
    </row>
    <row r="29" spans="1:11" ht="12" customHeight="1" x14ac:dyDescent="0.2">
      <c r="A29" s="4"/>
      <c r="B29" s="4" t="s">
        <v>37</v>
      </c>
      <c r="C29" s="5" t="s">
        <v>11</v>
      </c>
      <c r="D29" s="291"/>
      <c r="E29" s="5" t="s">
        <v>12</v>
      </c>
      <c r="F29" s="292"/>
      <c r="G29" s="4" t="s">
        <v>638</v>
      </c>
      <c r="H29" s="5"/>
      <c r="I29" s="4"/>
      <c r="J29" s="5">
        <f t="shared" si="2"/>
        <v>0</v>
      </c>
      <c r="K29" s="5"/>
    </row>
    <row r="30" spans="1:11" ht="12" customHeight="1" x14ac:dyDescent="0.2">
      <c r="A30" s="4"/>
      <c r="B30" s="4" t="s">
        <v>38</v>
      </c>
      <c r="C30" s="5" t="s">
        <v>11</v>
      </c>
      <c r="D30" s="291"/>
      <c r="E30" s="5" t="s">
        <v>12</v>
      </c>
      <c r="F30" s="292"/>
      <c r="G30" s="4" t="s">
        <v>639</v>
      </c>
      <c r="H30" s="5"/>
      <c r="I30" s="4"/>
      <c r="J30" s="5">
        <f t="shared" si="2"/>
        <v>0</v>
      </c>
      <c r="K30" s="5"/>
    </row>
    <row r="31" spans="1:11" ht="12" customHeight="1" x14ac:dyDescent="0.2">
      <c r="A31" s="4"/>
      <c r="B31" s="4" t="s">
        <v>39</v>
      </c>
      <c r="C31" s="5" t="s">
        <v>11</v>
      </c>
      <c r="D31" s="291"/>
      <c r="E31" s="5" t="s">
        <v>12</v>
      </c>
      <c r="F31" s="292"/>
      <c r="G31" s="4"/>
      <c r="H31" s="5"/>
      <c r="I31" s="4"/>
      <c r="J31" s="5">
        <f t="shared" si="2"/>
        <v>0</v>
      </c>
      <c r="K31" s="5"/>
    </row>
    <row r="32" spans="1:11" ht="12" customHeight="1" x14ac:dyDescent="0.2">
      <c r="A32" s="4"/>
      <c r="B32" s="4" t="s">
        <v>40</v>
      </c>
      <c r="C32" s="5" t="s">
        <v>11</v>
      </c>
      <c r="D32" s="291"/>
      <c r="E32" s="5" t="s">
        <v>12</v>
      </c>
      <c r="F32" s="292"/>
      <c r="G32" s="4"/>
      <c r="H32" s="5"/>
      <c r="I32" s="4"/>
      <c r="J32" s="5">
        <f t="shared" si="2"/>
        <v>0</v>
      </c>
      <c r="K32" s="5"/>
    </row>
    <row r="33" spans="1:11" ht="12" customHeight="1" x14ac:dyDescent="0.2">
      <c r="A33" s="4"/>
      <c r="B33" s="4" t="s">
        <v>41</v>
      </c>
      <c r="C33" s="5" t="s">
        <v>11</v>
      </c>
      <c r="D33" s="291"/>
      <c r="E33" s="5" t="s">
        <v>12</v>
      </c>
      <c r="F33" s="292"/>
      <c r="G33" s="4"/>
      <c r="H33" s="5"/>
      <c r="I33" s="4"/>
      <c r="J33" s="5">
        <f t="shared" si="2"/>
        <v>0</v>
      </c>
      <c r="K33" s="5"/>
    </row>
    <row r="34" spans="1:11" ht="12" customHeight="1" x14ac:dyDescent="0.2">
      <c r="A34" s="4"/>
      <c r="B34" s="4" t="s">
        <v>42</v>
      </c>
      <c r="C34" s="5" t="s">
        <v>11</v>
      </c>
      <c r="D34" s="291"/>
      <c r="E34" s="5" t="s">
        <v>12</v>
      </c>
      <c r="F34" s="292"/>
      <c r="G34" s="4"/>
      <c r="H34" s="5"/>
      <c r="I34" s="4"/>
      <c r="J34" s="5">
        <f t="shared" si="2"/>
        <v>0</v>
      </c>
      <c r="K34" s="5"/>
    </row>
    <row r="35" spans="1:11" ht="12" customHeight="1" x14ac:dyDescent="0.2">
      <c r="A35" s="4"/>
      <c r="B35" s="4" t="s">
        <v>43</v>
      </c>
      <c r="C35" s="5" t="s">
        <v>11</v>
      </c>
      <c r="D35" s="291"/>
      <c r="E35" s="5" t="s">
        <v>12</v>
      </c>
      <c r="F35" s="292"/>
      <c r="G35" s="4"/>
      <c r="H35" s="5"/>
      <c r="I35" s="4"/>
      <c r="J35" s="5">
        <f t="shared" si="2"/>
        <v>0</v>
      </c>
      <c r="K35" s="5"/>
    </row>
    <row r="36" spans="1:11" ht="12" customHeight="1" x14ac:dyDescent="0.2">
      <c r="A36" s="4"/>
      <c r="B36" s="4"/>
      <c r="C36" s="4"/>
      <c r="D36" s="4"/>
      <c r="E36" s="4"/>
      <c r="F36" s="4"/>
      <c r="G36" s="4"/>
      <c r="H36" s="5"/>
      <c r="I36" s="5" t="s">
        <v>327</v>
      </c>
      <c r="J36" s="5">
        <f>SUM(J26:J35)</f>
        <v>0</v>
      </c>
      <c r="K36" s="5"/>
    </row>
    <row r="37" spans="1:11" ht="12" customHeight="1" x14ac:dyDescent="0.2">
      <c r="A37" s="4"/>
      <c r="B37" s="4"/>
      <c r="C37" s="4"/>
      <c r="D37" s="4"/>
      <c r="E37" s="4"/>
      <c r="F37" s="4"/>
      <c r="G37" s="4"/>
      <c r="H37" s="5"/>
      <c r="I37" s="4"/>
      <c r="J37" s="5"/>
      <c r="K37" s="5"/>
    </row>
    <row r="38" spans="1:11" ht="12" customHeight="1" x14ac:dyDescent="0.2">
      <c r="A38" s="17" t="s">
        <v>640</v>
      </c>
      <c r="B38" s="12"/>
      <c r="C38" s="4"/>
      <c r="D38" s="4"/>
      <c r="E38" s="4"/>
      <c r="F38" s="4"/>
      <c r="G38" s="4"/>
      <c r="H38" s="5"/>
      <c r="I38" s="4"/>
      <c r="J38" s="5" t="s">
        <v>624</v>
      </c>
      <c r="K38" s="5" t="s">
        <v>328</v>
      </c>
    </row>
    <row r="39" spans="1:11" ht="12" customHeight="1" x14ac:dyDescent="0.2">
      <c r="A39" s="4"/>
      <c r="B39" s="12"/>
      <c r="C39" s="4"/>
      <c r="D39" s="4"/>
      <c r="E39" s="4"/>
      <c r="F39" s="4"/>
      <c r="G39" s="4"/>
      <c r="H39" s="5"/>
      <c r="I39" s="4"/>
      <c r="J39" s="5" t="s">
        <v>625</v>
      </c>
      <c r="K39" s="5" t="s">
        <v>626</v>
      </c>
    </row>
    <row r="40" spans="1:11" ht="12" customHeight="1" x14ac:dyDescent="0.2">
      <c r="A40" s="4"/>
      <c r="B40" s="4" t="s">
        <v>10</v>
      </c>
      <c r="C40" s="5" t="s">
        <v>11</v>
      </c>
      <c r="D40" s="19">
        <f>Input!D27</f>
        <v>0</v>
      </c>
      <c r="E40" s="5" t="s">
        <v>12</v>
      </c>
      <c r="F40" s="20">
        <f>Input!F27</f>
        <v>0</v>
      </c>
      <c r="G40" s="5" t="s">
        <v>627</v>
      </c>
      <c r="H40" s="20">
        <f>Input!H27</f>
        <v>0</v>
      </c>
      <c r="I40" s="4" t="s">
        <v>628</v>
      </c>
      <c r="J40" s="5">
        <f t="shared" ref="J40:J89" si="3">F40*H40*D40</f>
        <v>0</v>
      </c>
      <c r="K40" s="5">
        <f t="shared" ref="K40:K89" si="4">F40*D40</f>
        <v>0</v>
      </c>
    </row>
    <row r="41" spans="1:11" ht="12" customHeight="1" x14ac:dyDescent="0.2">
      <c r="A41" s="12"/>
      <c r="B41" s="4" t="s">
        <v>14</v>
      </c>
      <c r="C41" s="5" t="s">
        <v>11</v>
      </c>
      <c r="D41" s="19">
        <f>Input!D28</f>
        <v>0</v>
      </c>
      <c r="E41" s="5" t="s">
        <v>12</v>
      </c>
      <c r="F41" s="20">
        <f>Input!F28</f>
        <v>0</v>
      </c>
      <c r="G41" s="5" t="s">
        <v>627</v>
      </c>
      <c r="H41" s="20">
        <f>Input!H28</f>
        <v>0</v>
      </c>
      <c r="I41" s="4" t="s">
        <v>629</v>
      </c>
      <c r="J41" s="5">
        <f t="shared" si="3"/>
        <v>0</v>
      </c>
      <c r="K41" s="5">
        <f t="shared" si="4"/>
        <v>0</v>
      </c>
    </row>
    <row r="42" spans="1:11" ht="12" customHeight="1" x14ac:dyDescent="0.2">
      <c r="A42" s="12"/>
      <c r="B42" s="4" t="s">
        <v>15</v>
      </c>
      <c r="C42" s="5" t="s">
        <v>11</v>
      </c>
      <c r="D42" s="19">
        <f>Input!D29</f>
        <v>0</v>
      </c>
      <c r="E42" s="5" t="s">
        <v>12</v>
      </c>
      <c r="F42" s="20">
        <f>Input!F29</f>
        <v>0</v>
      </c>
      <c r="G42" s="5" t="s">
        <v>627</v>
      </c>
      <c r="H42" s="20">
        <f>Input!H29</f>
        <v>0</v>
      </c>
      <c r="I42" s="4"/>
      <c r="J42" s="5">
        <f t="shared" si="3"/>
        <v>0</v>
      </c>
      <c r="K42" s="5">
        <f t="shared" si="4"/>
        <v>0</v>
      </c>
    </row>
    <row r="43" spans="1:11" ht="12" customHeight="1" x14ac:dyDescent="0.2">
      <c r="A43" s="4"/>
      <c r="B43" s="4" t="s">
        <v>37</v>
      </c>
      <c r="C43" s="5" t="s">
        <v>11</v>
      </c>
      <c r="D43" s="291"/>
      <c r="E43" s="5" t="s">
        <v>12</v>
      </c>
      <c r="F43" s="292"/>
      <c r="G43" s="5" t="s">
        <v>627</v>
      </c>
      <c r="H43" s="292"/>
      <c r="I43" s="4" t="s">
        <v>641</v>
      </c>
      <c r="J43" s="5">
        <f t="shared" si="3"/>
        <v>0</v>
      </c>
      <c r="K43" s="5">
        <f t="shared" si="4"/>
        <v>0</v>
      </c>
    </row>
    <row r="44" spans="1:11" ht="12" customHeight="1" x14ac:dyDescent="0.2">
      <c r="A44" s="15"/>
      <c r="B44" s="4" t="s">
        <v>38</v>
      </c>
      <c r="C44" s="5" t="s">
        <v>11</v>
      </c>
      <c r="D44" s="291"/>
      <c r="E44" s="5" t="s">
        <v>12</v>
      </c>
      <c r="F44" s="292"/>
      <c r="G44" s="5" t="s">
        <v>627</v>
      </c>
      <c r="H44" s="292"/>
      <c r="I44" s="4"/>
      <c r="J44" s="5">
        <f t="shared" si="3"/>
        <v>0</v>
      </c>
      <c r="K44" s="5">
        <f t="shared" si="4"/>
        <v>0</v>
      </c>
    </row>
    <row r="45" spans="1:11" ht="12" customHeight="1" x14ac:dyDescent="0.2">
      <c r="A45" s="15"/>
      <c r="B45" s="4" t="s">
        <v>39</v>
      </c>
      <c r="C45" s="5" t="s">
        <v>11</v>
      </c>
      <c r="D45" s="291"/>
      <c r="E45" s="5" t="s">
        <v>12</v>
      </c>
      <c r="F45" s="292"/>
      <c r="G45" s="5" t="s">
        <v>627</v>
      </c>
      <c r="H45" s="292"/>
      <c r="I45" s="4"/>
      <c r="J45" s="5">
        <f t="shared" si="3"/>
        <v>0</v>
      </c>
      <c r="K45" s="5">
        <f t="shared" si="4"/>
        <v>0</v>
      </c>
    </row>
    <row r="46" spans="1:11" ht="12" customHeight="1" x14ac:dyDescent="0.2">
      <c r="A46" s="4"/>
      <c r="B46" s="4" t="s">
        <v>40</v>
      </c>
      <c r="C46" s="5" t="s">
        <v>11</v>
      </c>
      <c r="D46" s="291"/>
      <c r="E46" s="5" t="s">
        <v>12</v>
      </c>
      <c r="F46" s="292"/>
      <c r="G46" s="5" t="s">
        <v>627</v>
      </c>
      <c r="H46" s="292"/>
      <c r="I46" s="4"/>
      <c r="J46" s="5">
        <f t="shared" si="3"/>
        <v>0</v>
      </c>
      <c r="K46" s="5">
        <f t="shared" si="4"/>
        <v>0</v>
      </c>
    </row>
    <row r="47" spans="1:11" ht="12" customHeight="1" x14ac:dyDescent="0.2">
      <c r="A47" s="4"/>
      <c r="B47" s="4" t="s">
        <v>41</v>
      </c>
      <c r="C47" s="5" t="s">
        <v>11</v>
      </c>
      <c r="D47" s="291"/>
      <c r="E47" s="5" t="s">
        <v>12</v>
      </c>
      <c r="F47" s="292"/>
      <c r="G47" s="5" t="s">
        <v>627</v>
      </c>
      <c r="H47" s="292"/>
      <c r="I47" s="4"/>
      <c r="J47" s="5">
        <f t="shared" si="3"/>
        <v>0</v>
      </c>
      <c r="K47" s="5">
        <f t="shared" si="4"/>
        <v>0</v>
      </c>
    </row>
    <row r="48" spans="1:11" ht="12" customHeight="1" x14ac:dyDescent="0.2">
      <c r="A48" s="4"/>
      <c r="B48" s="4" t="s">
        <v>42</v>
      </c>
      <c r="C48" s="5" t="s">
        <v>11</v>
      </c>
      <c r="D48" s="291"/>
      <c r="E48" s="5" t="s">
        <v>12</v>
      </c>
      <c r="F48" s="292"/>
      <c r="G48" s="5" t="s">
        <v>627</v>
      </c>
      <c r="H48" s="292"/>
      <c r="I48" s="4"/>
      <c r="J48" s="5">
        <f t="shared" si="3"/>
        <v>0</v>
      </c>
      <c r="K48" s="5">
        <f t="shared" si="4"/>
        <v>0</v>
      </c>
    </row>
    <row r="49" spans="1:11" ht="12" customHeight="1" x14ac:dyDescent="0.2">
      <c r="A49" s="4"/>
      <c r="B49" s="4" t="s">
        <v>43</v>
      </c>
      <c r="C49" s="5" t="s">
        <v>11</v>
      </c>
      <c r="D49" s="291"/>
      <c r="E49" s="5" t="s">
        <v>12</v>
      </c>
      <c r="F49" s="292"/>
      <c r="G49" s="5" t="s">
        <v>627</v>
      </c>
      <c r="H49" s="292"/>
      <c r="I49" s="4"/>
      <c r="J49" s="5">
        <f t="shared" si="3"/>
        <v>0</v>
      </c>
      <c r="K49" s="5">
        <f t="shared" si="4"/>
        <v>0</v>
      </c>
    </row>
    <row r="50" spans="1:11" ht="12" customHeight="1" x14ac:dyDescent="0.2">
      <c r="A50" s="4"/>
      <c r="B50" s="4" t="s">
        <v>632</v>
      </c>
      <c r="C50" s="5" t="s">
        <v>11</v>
      </c>
      <c r="D50" s="291"/>
      <c r="E50" s="5" t="s">
        <v>12</v>
      </c>
      <c r="F50" s="292"/>
      <c r="G50" s="5" t="s">
        <v>627</v>
      </c>
      <c r="H50" s="292"/>
      <c r="I50" s="4"/>
      <c r="J50" s="5">
        <f t="shared" si="3"/>
        <v>0</v>
      </c>
      <c r="K50" s="5">
        <f t="shared" si="4"/>
        <v>0</v>
      </c>
    </row>
    <row r="51" spans="1:11" ht="12" customHeight="1" x14ac:dyDescent="0.2">
      <c r="A51" s="4"/>
      <c r="B51" s="4" t="s">
        <v>633</v>
      </c>
      <c r="C51" s="5" t="s">
        <v>11</v>
      </c>
      <c r="D51" s="291"/>
      <c r="E51" s="5" t="s">
        <v>12</v>
      </c>
      <c r="F51" s="292"/>
      <c r="G51" s="5" t="s">
        <v>627</v>
      </c>
      <c r="H51" s="292"/>
      <c r="I51" s="4"/>
      <c r="J51" s="5">
        <f t="shared" si="3"/>
        <v>0</v>
      </c>
      <c r="K51" s="5">
        <f t="shared" si="4"/>
        <v>0</v>
      </c>
    </row>
    <row r="52" spans="1:11" ht="12" customHeight="1" x14ac:dyDescent="0.2">
      <c r="A52" s="4"/>
      <c r="B52" s="4" t="s">
        <v>634</v>
      </c>
      <c r="C52" s="5" t="s">
        <v>11</v>
      </c>
      <c r="D52" s="291"/>
      <c r="E52" s="5" t="s">
        <v>12</v>
      </c>
      <c r="F52" s="292"/>
      <c r="G52" s="5" t="s">
        <v>627</v>
      </c>
      <c r="H52" s="292"/>
      <c r="I52" s="4"/>
      <c r="J52" s="5">
        <f t="shared" si="3"/>
        <v>0</v>
      </c>
      <c r="K52" s="5">
        <f t="shared" si="4"/>
        <v>0</v>
      </c>
    </row>
    <row r="53" spans="1:11" ht="12" customHeight="1" x14ac:dyDescent="0.2">
      <c r="A53" s="4"/>
      <c r="B53" s="4" t="s">
        <v>635</v>
      </c>
      <c r="C53" s="5" t="s">
        <v>11</v>
      </c>
      <c r="D53" s="291"/>
      <c r="E53" s="5" t="s">
        <v>12</v>
      </c>
      <c r="F53" s="292"/>
      <c r="G53" s="5" t="s">
        <v>627</v>
      </c>
      <c r="H53" s="292"/>
      <c r="I53" s="4"/>
      <c r="J53" s="5">
        <f t="shared" si="3"/>
        <v>0</v>
      </c>
      <c r="K53" s="5">
        <f t="shared" si="4"/>
        <v>0</v>
      </c>
    </row>
    <row r="54" spans="1:11" ht="12" customHeight="1" x14ac:dyDescent="0.2">
      <c r="A54" s="4"/>
      <c r="B54" s="4" t="s">
        <v>636</v>
      </c>
      <c r="C54" s="5" t="s">
        <v>11</v>
      </c>
      <c r="D54" s="291"/>
      <c r="E54" s="5" t="s">
        <v>12</v>
      </c>
      <c r="F54" s="292"/>
      <c r="G54" s="5" t="s">
        <v>627</v>
      </c>
      <c r="H54" s="292"/>
      <c r="I54" s="4"/>
      <c r="J54" s="5">
        <f t="shared" si="3"/>
        <v>0</v>
      </c>
      <c r="K54" s="5">
        <f t="shared" si="4"/>
        <v>0</v>
      </c>
    </row>
    <row r="55" spans="1:11" ht="12" customHeight="1" x14ac:dyDescent="0.2">
      <c r="A55" s="4"/>
      <c r="B55" s="4" t="s">
        <v>642</v>
      </c>
      <c r="C55" s="5" t="s">
        <v>11</v>
      </c>
      <c r="D55" s="291"/>
      <c r="E55" s="5" t="s">
        <v>12</v>
      </c>
      <c r="F55" s="292"/>
      <c r="G55" s="5" t="s">
        <v>627</v>
      </c>
      <c r="H55" s="292"/>
      <c r="I55" s="4"/>
      <c r="J55" s="5">
        <f t="shared" si="3"/>
        <v>0</v>
      </c>
      <c r="K55" s="5">
        <f t="shared" si="4"/>
        <v>0</v>
      </c>
    </row>
    <row r="56" spans="1:11" ht="12" customHeight="1" x14ac:dyDescent="0.2">
      <c r="A56" s="4"/>
      <c r="B56" s="4" t="s">
        <v>643</v>
      </c>
      <c r="C56" s="5" t="s">
        <v>11</v>
      </c>
      <c r="D56" s="291"/>
      <c r="E56" s="5" t="s">
        <v>12</v>
      </c>
      <c r="F56" s="292"/>
      <c r="G56" s="5" t="s">
        <v>627</v>
      </c>
      <c r="H56" s="292"/>
      <c r="I56" s="4"/>
      <c r="J56" s="5">
        <f t="shared" si="3"/>
        <v>0</v>
      </c>
      <c r="K56" s="5">
        <f t="shared" si="4"/>
        <v>0</v>
      </c>
    </row>
    <row r="57" spans="1:11" ht="12" customHeight="1" x14ac:dyDescent="0.2">
      <c r="A57" s="4"/>
      <c r="B57" s="4" t="s">
        <v>644</v>
      </c>
      <c r="C57" s="5" t="s">
        <v>11</v>
      </c>
      <c r="D57" s="291"/>
      <c r="E57" s="5" t="s">
        <v>12</v>
      </c>
      <c r="F57" s="292"/>
      <c r="G57" s="5" t="s">
        <v>627</v>
      </c>
      <c r="H57" s="292"/>
      <c r="I57" s="4"/>
      <c r="J57" s="5">
        <f t="shared" si="3"/>
        <v>0</v>
      </c>
      <c r="K57" s="5">
        <f t="shared" si="4"/>
        <v>0</v>
      </c>
    </row>
    <row r="58" spans="1:11" ht="12" customHeight="1" x14ac:dyDescent="0.2">
      <c r="A58" s="4"/>
      <c r="B58" s="4" t="s">
        <v>645</v>
      </c>
      <c r="C58" s="5" t="s">
        <v>11</v>
      </c>
      <c r="D58" s="291"/>
      <c r="E58" s="5" t="s">
        <v>12</v>
      </c>
      <c r="F58" s="292"/>
      <c r="G58" s="5" t="s">
        <v>627</v>
      </c>
      <c r="H58" s="292"/>
      <c r="I58" s="4"/>
      <c r="J58" s="5">
        <f t="shared" si="3"/>
        <v>0</v>
      </c>
      <c r="K58" s="5">
        <f t="shared" si="4"/>
        <v>0</v>
      </c>
    </row>
    <row r="59" spans="1:11" ht="12" customHeight="1" x14ac:dyDescent="0.2">
      <c r="A59" s="4"/>
      <c r="B59" s="4" t="s">
        <v>646</v>
      </c>
      <c r="C59" s="5" t="s">
        <v>11</v>
      </c>
      <c r="D59" s="291"/>
      <c r="E59" s="5" t="s">
        <v>12</v>
      </c>
      <c r="F59" s="292"/>
      <c r="G59" s="5" t="s">
        <v>627</v>
      </c>
      <c r="H59" s="292"/>
      <c r="I59" s="4"/>
      <c r="J59" s="5">
        <f t="shared" si="3"/>
        <v>0</v>
      </c>
      <c r="K59" s="5">
        <f t="shared" si="4"/>
        <v>0</v>
      </c>
    </row>
    <row r="60" spans="1:11" ht="12" customHeight="1" x14ac:dyDescent="0.2">
      <c r="A60" s="4"/>
      <c r="B60" s="4" t="s">
        <v>647</v>
      </c>
      <c r="C60" s="5" t="s">
        <v>11</v>
      </c>
      <c r="D60" s="291"/>
      <c r="E60" s="5" t="s">
        <v>12</v>
      </c>
      <c r="F60" s="292"/>
      <c r="G60" s="5" t="s">
        <v>627</v>
      </c>
      <c r="H60" s="292"/>
      <c r="I60" s="4"/>
      <c r="J60" s="5">
        <f t="shared" si="3"/>
        <v>0</v>
      </c>
      <c r="K60" s="5">
        <f t="shared" si="4"/>
        <v>0</v>
      </c>
    </row>
    <row r="61" spans="1:11" ht="12" customHeight="1" x14ac:dyDescent="0.2">
      <c r="A61" s="4"/>
      <c r="B61" s="4" t="s">
        <v>648</v>
      </c>
      <c r="C61" s="5" t="s">
        <v>11</v>
      </c>
      <c r="D61" s="291"/>
      <c r="E61" s="5" t="s">
        <v>12</v>
      </c>
      <c r="F61" s="292"/>
      <c r="G61" s="5" t="s">
        <v>627</v>
      </c>
      <c r="H61" s="292"/>
      <c r="I61" s="4"/>
      <c r="J61" s="5">
        <f t="shared" si="3"/>
        <v>0</v>
      </c>
      <c r="K61" s="5">
        <f t="shared" si="4"/>
        <v>0</v>
      </c>
    </row>
    <row r="62" spans="1:11" ht="12" customHeight="1" x14ac:dyDescent="0.2">
      <c r="A62" s="4"/>
      <c r="B62" s="4" t="s">
        <v>649</v>
      </c>
      <c r="C62" s="5" t="s">
        <v>11</v>
      </c>
      <c r="D62" s="291"/>
      <c r="E62" s="5" t="s">
        <v>12</v>
      </c>
      <c r="F62" s="292"/>
      <c r="G62" s="5" t="s">
        <v>627</v>
      </c>
      <c r="H62" s="292"/>
      <c r="I62" s="4"/>
      <c r="J62" s="5">
        <f t="shared" si="3"/>
        <v>0</v>
      </c>
      <c r="K62" s="5">
        <f t="shared" si="4"/>
        <v>0</v>
      </c>
    </row>
    <row r="63" spans="1:11" ht="12" customHeight="1" x14ac:dyDescent="0.2">
      <c r="A63" s="4"/>
      <c r="B63" s="4" t="s">
        <v>650</v>
      </c>
      <c r="C63" s="5" t="s">
        <v>11</v>
      </c>
      <c r="D63" s="291"/>
      <c r="E63" s="5" t="s">
        <v>12</v>
      </c>
      <c r="F63" s="292"/>
      <c r="G63" s="5" t="s">
        <v>627</v>
      </c>
      <c r="H63" s="292"/>
      <c r="I63" s="4"/>
      <c r="J63" s="5">
        <f t="shared" si="3"/>
        <v>0</v>
      </c>
      <c r="K63" s="5">
        <f t="shared" si="4"/>
        <v>0</v>
      </c>
    </row>
    <row r="64" spans="1:11" ht="12" customHeight="1" x14ac:dyDescent="0.2">
      <c r="A64" s="4"/>
      <c r="B64" s="4" t="s">
        <v>651</v>
      </c>
      <c r="C64" s="5" t="s">
        <v>11</v>
      </c>
      <c r="D64" s="291"/>
      <c r="E64" s="5" t="s">
        <v>12</v>
      </c>
      <c r="F64" s="292"/>
      <c r="G64" s="5" t="s">
        <v>627</v>
      </c>
      <c r="H64" s="292"/>
      <c r="I64" s="4"/>
      <c r="J64" s="5">
        <f t="shared" si="3"/>
        <v>0</v>
      </c>
      <c r="K64" s="5">
        <f t="shared" si="4"/>
        <v>0</v>
      </c>
    </row>
    <row r="65" spans="1:11" ht="12" customHeight="1" x14ac:dyDescent="0.2">
      <c r="A65" s="4"/>
      <c r="B65" s="4" t="s">
        <v>652</v>
      </c>
      <c r="C65" s="5" t="s">
        <v>11</v>
      </c>
      <c r="D65" s="291"/>
      <c r="E65" s="5" t="s">
        <v>12</v>
      </c>
      <c r="F65" s="292"/>
      <c r="G65" s="4" t="s">
        <v>627</v>
      </c>
      <c r="H65" s="292"/>
      <c r="I65" s="5"/>
      <c r="J65" s="5">
        <f t="shared" si="3"/>
        <v>0</v>
      </c>
      <c r="K65" s="5">
        <f t="shared" si="4"/>
        <v>0</v>
      </c>
    </row>
    <row r="66" spans="1:11" ht="12" customHeight="1" x14ac:dyDescent="0.2">
      <c r="A66" s="4"/>
      <c r="B66" s="4" t="s">
        <v>653</v>
      </c>
      <c r="C66" s="5" t="s">
        <v>11</v>
      </c>
      <c r="D66" s="291"/>
      <c r="E66" s="5" t="s">
        <v>12</v>
      </c>
      <c r="F66" s="292"/>
      <c r="G66" s="4" t="s">
        <v>627</v>
      </c>
      <c r="H66" s="292"/>
      <c r="I66" s="4"/>
      <c r="J66" s="5">
        <f t="shared" si="3"/>
        <v>0</v>
      </c>
      <c r="K66" s="5">
        <f t="shared" si="4"/>
        <v>0</v>
      </c>
    </row>
    <row r="67" spans="1:11" ht="12" customHeight="1" x14ac:dyDescent="0.2">
      <c r="A67" s="4"/>
      <c r="B67" s="4" t="s">
        <v>654</v>
      </c>
      <c r="C67" s="5" t="s">
        <v>11</v>
      </c>
      <c r="D67" s="291"/>
      <c r="E67" s="5" t="s">
        <v>12</v>
      </c>
      <c r="F67" s="292"/>
      <c r="G67" s="4" t="s">
        <v>627</v>
      </c>
      <c r="H67" s="292"/>
      <c r="I67" s="4"/>
      <c r="J67" s="5">
        <f t="shared" si="3"/>
        <v>0</v>
      </c>
      <c r="K67" s="5">
        <f t="shared" si="4"/>
        <v>0</v>
      </c>
    </row>
    <row r="68" spans="1:11" ht="12" customHeight="1" x14ac:dyDescent="0.2">
      <c r="A68" s="4"/>
      <c r="B68" s="4" t="s">
        <v>655</v>
      </c>
      <c r="C68" s="5" t="s">
        <v>11</v>
      </c>
      <c r="D68" s="291"/>
      <c r="E68" s="5" t="s">
        <v>12</v>
      </c>
      <c r="F68" s="292"/>
      <c r="G68" s="4" t="s">
        <v>627</v>
      </c>
      <c r="H68" s="292"/>
      <c r="I68" s="4"/>
      <c r="J68" s="5">
        <f t="shared" si="3"/>
        <v>0</v>
      </c>
      <c r="K68" s="5">
        <f t="shared" si="4"/>
        <v>0</v>
      </c>
    </row>
    <row r="69" spans="1:11" ht="12" customHeight="1" x14ac:dyDescent="0.2">
      <c r="A69" s="4"/>
      <c r="B69" s="4" t="s">
        <v>656</v>
      </c>
      <c r="C69" s="5" t="s">
        <v>11</v>
      </c>
      <c r="D69" s="291"/>
      <c r="E69" s="5" t="s">
        <v>12</v>
      </c>
      <c r="F69" s="292"/>
      <c r="G69" s="4" t="s">
        <v>627</v>
      </c>
      <c r="H69" s="292"/>
      <c r="I69" s="4"/>
      <c r="J69" s="5">
        <f t="shared" si="3"/>
        <v>0</v>
      </c>
      <c r="K69" s="5">
        <f t="shared" si="4"/>
        <v>0</v>
      </c>
    </row>
    <row r="70" spans="1:11" ht="12" customHeight="1" x14ac:dyDescent="0.2">
      <c r="A70" s="4"/>
      <c r="B70" s="4" t="s">
        <v>657</v>
      </c>
      <c r="C70" s="5" t="s">
        <v>11</v>
      </c>
      <c r="D70" s="291"/>
      <c r="E70" s="5" t="s">
        <v>12</v>
      </c>
      <c r="F70" s="292"/>
      <c r="G70" s="4" t="s">
        <v>627</v>
      </c>
      <c r="H70" s="292"/>
      <c r="I70" s="4"/>
      <c r="J70" s="5">
        <f t="shared" si="3"/>
        <v>0</v>
      </c>
      <c r="K70" s="5">
        <f t="shared" si="4"/>
        <v>0</v>
      </c>
    </row>
    <row r="71" spans="1:11" ht="12" customHeight="1" x14ac:dyDescent="0.2">
      <c r="A71" s="4"/>
      <c r="B71" s="4" t="s">
        <v>658</v>
      </c>
      <c r="C71" s="5" t="s">
        <v>11</v>
      </c>
      <c r="D71" s="291"/>
      <c r="E71" s="5" t="s">
        <v>12</v>
      </c>
      <c r="F71" s="292"/>
      <c r="G71" s="4" t="s">
        <v>627</v>
      </c>
      <c r="H71" s="292"/>
      <c r="I71" s="4"/>
      <c r="J71" s="5">
        <f t="shared" si="3"/>
        <v>0</v>
      </c>
      <c r="K71" s="5">
        <f t="shared" si="4"/>
        <v>0</v>
      </c>
    </row>
    <row r="72" spans="1:11" ht="12" customHeight="1" x14ac:dyDescent="0.2">
      <c r="A72" s="4"/>
      <c r="B72" s="4" t="s">
        <v>659</v>
      </c>
      <c r="C72" s="5" t="s">
        <v>11</v>
      </c>
      <c r="D72" s="291"/>
      <c r="E72" s="5" t="s">
        <v>12</v>
      </c>
      <c r="F72" s="292"/>
      <c r="G72" s="4" t="s">
        <v>627</v>
      </c>
      <c r="H72" s="292"/>
      <c r="I72" s="4"/>
      <c r="J72" s="5">
        <f t="shared" si="3"/>
        <v>0</v>
      </c>
      <c r="K72" s="5">
        <f t="shared" si="4"/>
        <v>0</v>
      </c>
    </row>
    <row r="73" spans="1:11" ht="12" customHeight="1" x14ac:dyDescent="0.2">
      <c r="A73" s="4"/>
      <c r="B73" s="4" t="s">
        <v>660</v>
      </c>
      <c r="C73" s="5" t="s">
        <v>11</v>
      </c>
      <c r="D73" s="291"/>
      <c r="E73" s="5" t="s">
        <v>12</v>
      </c>
      <c r="F73" s="292"/>
      <c r="G73" s="4" t="s">
        <v>627</v>
      </c>
      <c r="H73" s="292"/>
      <c r="I73" s="4"/>
      <c r="J73" s="5">
        <f t="shared" si="3"/>
        <v>0</v>
      </c>
      <c r="K73" s="5">
        <f t="shared" si="4"/>
        <v>0</v>
      </c>
    </row>
    <row r="74" spans="1:11" ht="12" customHeight="1" x14ac:dyDescent="0.2">
      <c r="A74" s="4"/>
      <c r="B74" s="4" t="s">
        <v>661</v>
      </c>
      <c r="C74" s="5" t="s">
        <v>11</v>
      </c>
      <c r="D74" s="291"/>
      <c r="E74" s="5" t="s">
        <v>12</v>
      </c>
      <c r="F74" s="292"/>
      <c r="G74" s="4" t="s">
        <v>627</v>
      </c>
      <c r="H74" s="292"/>
      <c r="I74" s="4"/>
      <c r="J74" s="5">
        <f t="shared" si="3"/>
        <v>0</v>
      </c>
      <c r="K74" s="5">
        <f t="shared" si="4"/>
        <v>0</v>
      </c>
    </row>
    <row r="75" spans="1:11" ht="12" customHeight="1" x14ac:dyDescent="0.2">
      <c r="A75" s="4"/>
      <c r="B75" s="4" t="s">
        <v>662</v>
      </c>
      <c r="C75" s="5" t="s">
        <v>11</v>
      </c>
      <c r="D75" s="291"/>
      <c r="E75" s="5" t="s">
        <v>12</v>
      </c>
      <c r="F75" s="292"/>
      <c r="G75" s="4" t="s">
        <v>627</v>
      </c>
      <c r="H75" s="292"/>
      <c r="I75" s="4"/>
      <c r="J75" s="5">
        <f t="shared" si="3"/>
        <v>0</v>
      </c>
      <c r="K75" s="5">
        <f t="shared" si="4"/>
        <v>0</v>
      </c>
    </row>
    <row r="76" spans="1:11" ht="12" customHeight="1" x14ac:dyDescent="0.2">
      <c r="A76" s="4"/>
      <c r="B76" s="4" t="s">
        <v>663</v>
      </c>
      <c r="C76" s="5" t="s">
        <v>11</v>
      </c>
      <c r="D76" s="291"/>
      <c r="E76" s="5" t="s">
        <v>12</v>
      </c>
      <c r="F76" s="292"/>
      <c r="G76" s="4" t="s">
        <v>627</v>
      </c>
      <c r="H76" s="292"/>
      <c r="I76" s="4"/>
      <c r="J76" s="5">
        <f t="shared" si="3"/>
        <v>0</v>
      </c>
      <c r="K76" s="5">
        <f t="shared" si="4"/>
        <v>0</v>
      </c>
    </row>
    <row r="77" spans="1:11" ht="12" customHeight="1" x14ac:dyDescent="0.2">
      <c r="A77" s="4"/>
      <c r="B77" s="4" t="s">
        <v>664</v>
      </c>
      <c r="C77" s="5" t="s">
        <v>11</v>
      </c>
      <c r="D77" s="291"/>
      <c r="E77" s="5" t="s">
        <v>12</v>
      </c>
      <c r="F77" s="292"/>
      <c r="G77" s="4" t="s">
        <v>627</v>
      </c>
      <c r="H77" s="292"/>
      <c r="I77" s="4"/>
      <c r="J77" s="5">
        <f t="shared" si="3"/>
        <v>0</v>
      </c>
      <c r="K77" s="5">
        <f t="shared" si="4"/>
        <v>0</v>
      </c>
    </row>
    <row r="78" spans="1:11" ht="12" customHeight="1" x14ac:dyDescent="0.2">
      <c r="A78" s="4"/>
      <c r="B78" s="4" t="s">
        <v>665</v>
      </c>
      <c r="C78" s="5" t="s">
        <v>11</v>
      </c>
      <c r="D78" s="291"/>
      <c r="E78" s="5" t="s">
        <v>12</v>
      </c>
      <c r="F78" s="292"/>
      <c r="G78" s="4" t="s">
        <v>627</v>
      </c>
      <c r="H78" s="292"/>
      <c r="I78" s="4"/>
      <c r="J78" s="5">
        <f t="shared" si="3"/>
        <v>0</v>
      </c>
      <c r="K78" s="5">
        <f t="shared" si="4"/>
        <v>0</v>
      </c>
    </row>
    <row r="79" spans="1:11" ht="12" customHeight="1" x14ac:dyDescent="0.2">
      <c r="A79" s="4"/>
      <c r="B79" s="4" t="s">
        <v>666</v>
      </c>
      <c r="C79" s="5" t="s">
        <v>11</v>
      </c>
      <c r="D79" s="291"/>
      <c r="E79" s="5" t="s">
        <v>12</v>
      </c>
      <c r="F79" s="292"/>
      <c r="G79" s="4" t="s">
        <v>627</v>
      </c>
      <c r="H79" s="292"/>
      <c r="I79" s="4"/>
      <c r="J79" s="5">
        <f t="shared" si="3"/>
        <v>0</v>
      </c>
      <c r="K79" s="5">
        <f t="shared" si="4"/>
        <v>0</v>
      </c>
    </row>
    <row r="80" spans="1:11" ht="12" customHeight="1" x14ac:dyDescent="0.2">
      <c r="A80" s="4"/>
      <c r="B80" s="4" t="s">
        <v>667</v>
      </c>
      <c r="C80" s="5" t="s">
        <v>11</v>
      </c>
      <c r="D80" s="291"/>
      <c r="E80" s="5" t="s">
        <v>12</v>
      </c>
      <c r="F80" s="292"/>
      <c r="G80" s="4" t="s">
        <v>627</v>
      </c>
      <c r="H80" s="292"/>
      <c r="I80" s="4"/>
      <c r="J80" s="5">
        <f t="shared" si="3"/>
        <v>0</v>
      </c>
      <c r="K80" s="5">
        <f t="shared" si="4"/>
        <v>0</v>
      </c>
    </row>
    <row r="81" spans="1:11" ht="12" customHeight="1" x14ac:dyDescent="0.2">
      <c r="A81" s="4"/>
      <c r="B81" s="4" t="s">
        <v>668</v>
      </c>
      <c r="C81" s="5" t="s">
        <v>11</v>
      </c>
      <c r="D81" s="291"/>
      <c r="E81" s="5" t="s">
        <v>12</v>
      </c>
      <c r="F81" s="292"/>
      <c r="G81" s="4" t="s">
        <v>627</v>
      </c>
      <c r="H81" s="292"/>
      <c r="I81" s="4"/>
      <c r="J81" s="5">
        <f t="shared" si="3"/>
        <v>0</v>
      </c>
      <c r="K81" s="5">
        <f t="shared" si="4"/>
        <v>0</v>
      </c>
    </row>
    <row r="82" spans="1:11" ht="12" customHeight="1" x14ac:dyDescent="0.2">
      <c r="A82" s="4"/>
      <c r="B82" s="4" t="s">
        <v>669</v>
      </c>
      <c r="C82" s="5" t="s">
        <v>11</v>
      </c>
      <c r="D82" s="291"/>
      <c r="E82" s="5" t="s">
        <v>12</v>
      </c>
      <c r="F82" s="292"/>
      <c r="G82" s="4" t="s">
        <v>627</v>
      </c>
      <c r="H82" s="292"/>
      <c r="I82" s="4"/>
      <c r="J82" s="5">
        <f t="shared" si="3"/>
        <v>0</v>
      </c>
      <c r="K82" s="5">
        <f t="shared" si="4"/>
        <v>0</v>
      </c>
    </row>
    <row r="83" spans="1:11" ht="12" customHeight="1" x14ac:dyDescent="0.2">
      <c r="A83" s="4"/>
      <c r="B83" s="4" t="s">
        <v>670</v>
      </c>
      <c r="C83" s="5" t="s">
        <v>11</v>
      </c>
      <c r="D83" s="291"/>
      <c r="E83" s="5" t="s">
        <v>12</v>
      </c>
      <c r="F83" s="292"/>
      <c r="G83" s="4" t="s">
        <v>627</v>
      </c>
      <c r="H83" s="292"/>
      <c r="I83" s="4"/>
      <c r="J83" s="5">
        <f t="shared" si="3"/>
        <v>0</v>
      </c>
      <c r="K83" s="5">
        <f t="shared" si="4"/>
        <v>0</v>
      </c>
    </row>
    <row r="84" spans="1:11" ht="12" customHeight="1" x14ac:dyDescent="0.2">
      <c r="A84" s="4"/>
      <c r="B84" s="4" t="s">
        <v>671</v>
      </c>
      <c r="C84" s="5" t="s">
        <v>11</v>
      </c>
      <c r="D84" s="291"/>
      <c r="E84" s="5" t="s">
        <v>12</v>
      </c>
      <c r="F84" s="292"/>
      <c r="G84" s="4" t="s">
        <v>627</v>
      </c>
      <c r="H84" s="292"/>
      <c r="I84" s="4"/>
      <c r="J84" s="5">
        <f t="shared" si="3"/>
        <v>0</v>
      </c>
      <c r="K84" s="5">
        <f t="shared" si="4"/>
        <v>0</v>
      </c>
    </row>
    <row r="85" spans="1:11" ht="12" customHeight="1" x14ac:dyDescent="0.2">
      <c r="A85" s="4"/>
      <c r="B85" s="4" t="s">
        <v>672</v>
      </c>
      <c r="C85" s="5" t="s">
        <v>11</v>
      </c>
      <c r="D85" s="291"/>
      <c r="E85" s="5" t="s">
        <v>12</v>
      </c>
      <c r="F85" s="292"/>
      <c r="G85" s="4" t="s">
        <v>627</v>
      </c>
      <c r="H85" s="292"/>
      <c r="I85" s="4"/>
      <c r="J85" s="5">
        <f t="shared" si="3"/>
        <v>0</v>
      </c>
      <c r="K85" s="5">
        <f t="shared" si="4"/>
        <v>0</v>
      </c>
    </row>
    <row r="86" spans="1:11" ht="12" customHeight="1" x14ac:dyDescent="0.2">
      <c r="A86" s="4"/>
      <c r="B86" s="4" t="s">
        <v>673</v>
      </c>
      <c r="C86" s="5" t="s">
        <v>11</v>
      </c>
      <c r="D86" s="291"/>
      <c r="E86" s="5" t="s">
        <v>12</v>
      </c>
      <c r="F86" s="292"/>
      <c r="G86" s="4" t="s">
        <v>627</v>
      </c>
      <c r="H86" s="292"/>
      <c r="I86" s="4"/>
      <c r="J86" s="5">
        <f t="shared" si="3"/>
        <v>0</v>
      </c>
      <c r="K86" s="5">
        <f t="shared" si="4"/>
        <v>0</v>
      </c>
    </row>
    <row r="87" spans="1:11" ht="12" customHeight="1" x14ac:dyDescent="0.2">
      <c r="A87" s="4"/>
      <c r="B87" s="4" t="s">
        <v>674</v>
      </c>
      <c r="C87" s="5" t="s">
        <v>11</v>
      </c>
      <c r="D87" s="291"/>
      <c r="E87" s="5" t="s">
        <v>12</v>
      </c>
      <c r="F87" s="292"/>
      <c r="G87" s="4" t="s">
        <v>627</v>
      </c>
      <c r="H87" s="292"/>
      <c r="I87" s="4"/>
      <c r="J87" s="5">
        <f t="shared" si="3"/>
        <v>0</v>
      </c>
      <c r="K87" s="5">
        <f t="shared" si="4"/>
        <v>0</v>
      </c>
    </row>
    <row r="88" spans="1:11" ht="12" customHeight="1" x14ac:dyDescent="0.2">
      <c r="A88" s="4"/>
      <c r="B88" s="4" t="s">
        <v>675</v>
      </c>
      <c r="C88" s="5" t="s">
        <v>11</v>
      </c>
      <c r="D88" s="291"/>
      <c r="E88" s="5" t="s">
        <v>12</v>
      </c>
      <c r="F88" s="292"/>
      <c r="G88" s="4" t="s">
        <v>627</v>
      </c>
      <c r="H88" s="292"/>
      <c r="I88" s="4"/>
      <c r="J88" s="5">
        <f t="shared" si="3"/>
        <v>0</v>
      </c>
      <c r="K88" s="5">
        <f t="shared" si="4"/>
        <v>0</v>
      </c>
    </row>
    <row r="89" spans="1:11" ht="12" customHeight="1" x14ac:dyDescent="0.2">
      <c r="A89" s="4"/>
      <c r="B89" s="4" t="s">
        <v>676</v>
      </c>
      <c r="C89" s="5" t="s">
        <v>11</v>
      </c>
      <c r="D89" s="291"/>
      <c r="E89" s="5" t="s">
        <v>12</v>
      </c>
      <c r="F89" s="292"/>
      <c r="G89" s="4" t="s">
        <v>627</v>
      </c>
      <c r="H89" s="292"/>
      <c r="I89" s="4"/>
      <c r="J89" s="5">
        <f t="shared" si="3"/>
        <v>0</v>
      </c>
      <c r="K89" s="5">
        <f t="shared" si="4"/>
        <v>0</v>
      </c>
    </row>
    <row r="90" spans="1:11" ht="12" customHeight="1" x14ac:dyDescent="0.2">
      <c r="A90" s="4"/>
      <c r="B90" s="4"/>
      <c r="C90" s="4"/>
      <c r="D90" s="22"/>
      <c r="E90" s="4"/>
      <c r="F90" s="5"/>
      <c r="G90" s="4"/>
      <c r="H90" s="5"/>
      <c r="I90" s="5" t="s">
        <v>327</v>
      </c>
      <c r="J90" s="5">
        <f>SUM(J40:J89)</f>
        <v>0</v>
      </c>
      <c r="K90" s="5">
        <f>SUM(K40:K89)</f>
        <v>0</v>
      </c>
    </row>
    <row r="91" spans="1:11" ht="12" customHeight="1" x14ac:dyDescent="0.2">
      <c r="A91" s="4"/>
      <c r="B91" s="4"/>
      <c r="C91" s="4"/>
      <c r="D91" s="22"/>
      <c r="E91" s="4"/>
      <c r="F91" s="5"/>
      <c r="G91" s="4"/>
      <c r="H91" s="5"/>
      <c r="I91" s="5"/>
      <c r="J91" s="5"/>
      <c r="K91" s="5"/>
    </row>
    <row r="92" spans="1:11" ht="12" customHeight="1" x14ac:dyDescent="0.2">
      <c r="A92" s="12" t="s">
        <v>677</v>
      </c>
      <c r="B92" s="4"/>
      <c r="C92" s="4"/>
      <c r="D92" s="4"/>
      <c r="E92" s="4"/>
      <c r="F92" s="4"/>
      <c r="G92" s="4"/>
      <c r="H92" s="4"/>
      <c r="I92" s="4"/>
      <c r="J92" s="5" t="s">
        <v>624</v>
      </c>
      <c r="K92" s="5" t="s">
        <v>328</v>
      </c>
    </row>
    <row r="93" spans="1:11" ht="12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5" t="s">
        <v>625</v>
      </c>
      <c r="K93" s="5" t="s">
        <v>626</v>
      </c>
    </row>
    <row r="94" spans="1:11" ht="12" customHeight="1" x14ac:dyDescent="0.2">
      <c r="A94" s="4"/>
      <c r="B94" s="4" t="s">
        <v>10</v>
      </c>
      <c r="C94" s="5" t="s">
        <v>11</v>
      </c>
      <c r="D94" s="19">
        <f>Input!D66</f>
        <v>0</v>
      </c>
      <c r="E94" s="5" t="s">
        <v>12</v>
      </c>
      <c r="F94" s="20">
        <f>Input!F66</f>
        <v>0</v>
      </c>
      <c r="G94" s="5" t="s">
        <v>44</v>
      </c>
      <c r="H94" s="20">
        <f>Input!H66</f>
        <v>0</v>
      </c>
      <c r="I94" s="4" t="s">
        <v>678</v>
      </c>
      <c r="J94" s="5">
        <f t="shared" ref="J94:J113" si="5">D94*F94*H94</f>
        <v>0</v>
      </c>
      <c r="K94" s="5">
        <f t="shared" ref="K94:K113" si="6">D94*F94</f>
        <v>0</v>
      </c>
    </row>
    <row r="95" spans="1:11" ht="12" customHeight="1" x14ac:dyDescent="0.2">
      <c r="A95" s="4"/>
      <c r="B95" s="4" t="s">
        <v>14</v>
      </c>
      <c r="C95" s="5" t="s">
        <v>11</v>
      </c>
      <c r="D95" s="19">
        <f>Input!D67</f>
        <v>0</v>
      </c>
      <c r="E95" s="5" t="s">
        <v>12</v>
      </c>
      <c r="F95" s="20">
        <f>Input!F67</f>
        <v>0</v>
      </c>
      <c r="G95" s="5" t="s">
        <v>44</v>
      </c>
      <c r="H95" s="20">
        <f>Input!H67</f>
        <v>0</v>
      </c>
      <c r="I95" s="4" t="s">
        <v>629</v>
      </c>
      <c r="J95" s="5">
        <f t="shared" si="5"/>
        <v>0</v>
      </c>
      <c r="K95" s="5">
        <f t="shared" si="6"/>
        <v>0</v>
      </c>
    </row>
    <row r="96" spans="1:11" ht="12" customHeight="1" x14ac:dyDescent="0.2">
      <c r="A96" s="4"/>
      <c r="B96" s="4" t="s">
        <v>15</v>
      </c>
      <c r="C96" s="5" t="s">
        <v>11</v>
      </c>
      <c r="D96" s="19">
        <f>Input!D68</f>
        <v>0</v>
      </c>
      <c r="E96" s="5" t="s">
        <v>12</v>
      </c>
      <c r="F96" s="20">
        <f>Input!F68</f>
        <v>0</v>
      </c>
      <c r="G96" s="5" t="s">
        <v>44</v>
      </c>
      <c r="H96" s="20">
        <f>Input!H68</f>
        <v>0</v>
      </c>
      <c r="I96" s="4"/>
      <c r="J96" s="5">
        <f t="shared" si="5"/>
        <v>0</v>
      </c>
      <c r="K96" s="5">
        <f t="shared" si="6"/>
        <v>0</v>
      </c>
    </row>
    <row r="97" spans="1:11" ht="12" customHeight="1" x14ac:dyDescent="0.2">
      <c r="A97" s="4"/>
      <c r="B97" s="4" t="s">
        <v>37</v>
      </c>
      <c r="C97" s="5" t="s">
        <v>11</v>
      </c>
      <c r="D97" s="19">
        <f>Input!D69</f>
        <v>0</v>
      </c>
      <c r="E97" s="5" t="s">
        <v>12</v>
      </c>
      <c r="F97" s="20">
        <f>Input!F69</f>
        <v>0</v>
      </c>
      <c r="G97" s="5" t="s">
        <v>44</v>
      </c>
      <c r="H97" s="20">
        <f>Input!H69</f>
        <v>0</v>
      </c>
      <c r="I97" s="4"/>
      <c r="J97" s="5">
        <f t="shared" si="5"/>
        <v>0</v>
      </c>
      <c r="K97" s="5">
        <f t="shared" si="6"/>
        <v>0</v>
      </c>
    </row>
    <row r="98" spans="1:11" ht="12" customHeight="1" x14ac:dyDescent="0.2">
      <c r="A98" s="4"/>
      <c r="B98" s="4" t="s">
        <v>38</v>
      </c>
      <c r="C98" s="5" t="s">
        <v>11</v>
      </c>
      <c r="D98" s="19">
        <f>Input!D70</f>
        <v>0</v>
      </c>
      <c r="E98" s="5" t="s">
        <v>12</v>
      </c>
      <c r="F98" s="20">
        <f>Input!F70</f>
        <v>0</v>
      </c>
      <c r="G98" s="5" t="s">
        <v>44</v>
      </c>
      <c r="H98" s="20">
        <f>Input!H70</f>
        <v>0</v>
      </c>
      <c r="I98" s="4"/>
      <c r="J98" s="5">
        <f t="shared" si="5"/>
        <v>0</v>
      </c>
      <c r="K98" s="5">
        <f t="shared" si="6"/>
        <v>0</v>
      </c>
    </row>
    <row r="99" spans="1:11" ht="12" customHeight="1" x14ac:dyDescent="0.2">
      <c r="A99" s="4"/>
      <c r="B99" s="4" t="s">
        <v>39</v>
      </c>
      <c r="C99" s="5" t="s">
        <v>11</v>
      </c>
      <c r="D99" s="291"/>
      <c r="E99" s="5" t="s">
        <v>12</v>
      </c>
      <c r="F99" s="292"/>
      <c r="G99" s="5" t="s">
        <v>44</v>
      </c>
      <c r="H99" s="292"/>
      <c r="I99" s="4" t="s">
        <v>679</v>
      </c>
      <c r="J99" s="5">
        <f t="shared" si="5"/>
        <v>0</v>
      </c>
      <c r="K99" s="5">
        <f t="shared" si="6"/>
        <v>0</v>
      </c>
    </row>
    <row r="100" spans="1:11" ht="12" customHeight="1" x14ac:dyDescent="0.2">
      <c r="A100" s="4"/>
      <c r="B100" s="4" t="s">
        <v>40</v>
      </c>
      <c r="C100" s="5" t="s">
        <v>11</v>
      </c>
      <c r="D100" s="291"/>
      <c r="E100" s="5" t="s">
        <v>12</v>
      </c>
      <c r="F100" s="292"/>
      <c r="G100" s="5" t="s">
        <v>44</v>
      </c>
      <c r="H100" s="292"/>
      <c r="I100" s="4" t="s">
        <v>680</v>
      </c>
      <c r="J100" s="5">
        <f t="shared" si="5"/>
        <v>0</v>
      </c>
      <c r="K100" s="5">
        <f t="shared" si="6"/>
        <v>0</v>
      </c>
    </row>
    <row r="101" spans="1:11" ht="12" customHeight="1" x14ac:dyDescent="0.2">
      <c r="A101" s="4"/>
      <c r="B101" s="4" t="s">
        <v>41</v>
      </c>
      <c r="C101" s="5" t="s">
        <v>11</v>
      </c>
      <c r="D101" s="291"/>
      <c r="E101" s="5" t="s">
        <v>12</v>
      </c>
      <c r="F101" s="292"/>
      <c r="G101" s="5" t="s">
        <v>44</v>
      </c>
      <c r="H101" s="292"/>
      <c r="I101" s="4"/>
      <c r="J101" s="5">
        <f t="shared" si="5"/>
        <v>0</v>
      </c>
      <c r="K101" s="5">
        <f t="shared" si="6"/>
        <v>0</v>
      </c>
    </row>
    <row r="102" spans="1:11" ht="12" customHeight="1" x14ac:dyDescent="0.2">
      <c r="A102" s="4"/>
      <c r="B102" s="4" t="s">
        <v>42</v>
      </c>
      <c r="C102" s="5" t="s">
        <v>11</v>
      </c>
      <c r="D102" s="291"/>
      <c r="E102" s="5" t="s">
        <v>12</v>
      </c>
      <c r="F102" s="292"/>
      <c r="G102" s="5" t="s">
        <v>44</v>
      </c>
      <c r="H102" s="292"/>
      <c r="I102" s="4"/>
      <c r="J102" s="5">
        <f t="shared" si="5"/>
        <v>0</v>
      </c>
      <c r="K102" s="5">
        <f t="shared" si="6"/>
        <v>0</v>
      </c>
    </row>
    <row r="103" spans="1:11" ht="12" customHeight="1" x14ac:dyDescent="0.2">
      <c r="A103" s="4"/>
      <c r="B103" s="4" t="s">
        <v>43</v>
      </c>
      <c r="C103" s="5" t="s">
        <v>11</v>
      </c>
      <c r="D103" s="291"/>
      <c r="E103" s="5" t="s">
        <v>12</v>
      </c>
      <c r="F103" s="292"/>
      <c r="G103" s="5" t="s">
        <v>44</v>
      </c>
      <c r="H103" s="292"/>
      <c r="I103" s="4"/>
      <c r="J103" s="5">
        <f t="shared" si="5"/>
        <v>0</v>
      </c>
      <c r="K103" s="5">
        <f t="shared" si="6"/>
        <v>0</v>
      </c>
    </row>
    <row r="104" spans="1:11" ht="12" customHeight="1" x14ac:dyDescent="0.2">
      <c r="A104" s="4"/>
      <c r="B104" s="4" t="s">
        <v>632</v>
      </c>
      <c r="C104" s="5" t="s">
        <v>11</v>
      </c>
      <c r="D104" s="291"/>
      <c r="E104" s="5" t="s">
        <v>12</v>
      </c>
      <c r="F104" s="292"/>
      <c r="G104" s="5" t="s">
        <v>44</v>
      </c>
      <c r="H104" s="292"/>
      <c r="I104" s="4"/>
      <c r="J104" s="5">
        <f t="shared" si="5"/>
        <v>0</v>
      </c>
      <c r="K104" s="5">
        <f t="shared" si="6"/>
        <v>0</v>
      </c>
    </row>
    <row r="105" spans="1:11" ht="12" customHeight="1" x14ac:dyDescent="0.2">
      <c r="A105" s="4"/>
      <c r="B105" s="4" t="s">
        <v>633</v>
      </c>
      <c r="C105" s="5" t="s">
        <v>11</v>
      </c>
      <c r="D105" s="291"/>
      <c r="E105" s="5" t="s">
        <v>12</v>
      </c>
      <c r="F105" s="292"/>
      <c r="G105" s="5" t="s">
        <v>44</v>
      </c>
      <c r="H105" s="292"/>
      <c r="I105" s="4"/>
      <c r="J105" s="5">
        <f t="shared" si="5"/>
        <v>0</v>
      </c>
      <c r="K105" s="5">
        <f t="shared" si="6"/>
        <v>0</v>
      </c>
    </row>
    <row r="106" spans="1:11" ht="12" customHeight="1" x14ac:dyDescent="0.2">
      <c r="A106" s="4"/>
      <c r="B106" s="4" t="s">
        <v>634</v>
      </c>
      <c r="C106" s="5" t="s">
        <v>11</v>
      </c>
      <c r="D106" s="291"/>
      <c r="E106" s="5" t="s">
        <v>12</v>
      </c>
      <c r="F106" s="292"/>
      <c r="G106" s="5" t="s">
        <v>44</v>
      </c>
      <c r="H106" s="292"/>
      <c r="I106" s="4"/>
      <c r="J106" s="5">
        <f t="shared" si="5"/>
        <v>0</v>
      </c>
      <c r="K106" s="5">
        <f t="shared" si="6"/>
        <v>0</v>
      </c>
    </row>
    <row r="107" spans="1:11" ht="12" customHeight="1" x14ac:dyDescent="0.2">
      <c r="A107" s="4"/>
      <c r="B107" s="4" t="s">
        <v>635</v>
      </c>
      <c r="C107" s="5" t="s">
        <v>11</v>
      </c>
      <c r="D107" s="291"/>
      <c r="E107" s="5" t="s">
        <v>12</v>
      </c>
      <c r="F107" s="292"/>
      <c r="G107" s="5" t="s">
        <v>44</v>
      </c>
      <c r="H107" s="292"/>
      <c r="I107" s="4"/>
      <c r="J107" s="5">
        <f t="shared" si="5"/>
        <v>0</v>
      </c>
      <c r="K107" s="5">
        <f t="shared" si="6"/>
        <v>0</v>
      </c>
    </row>
    <row r="108" spans="1:11" ht="12" customHeight="1" x14ac:dyDescent="0.2">
      <c r="A108" s="4"/>
      <c r="B108" s="4" t="s">
        <v>636</v>
      </c>
      <c r="C108" s="5" t="s">
        <v>11</v>
      </c>
      <c r="D108" s="291"/>
      <c r="E108" s="5" t="s">
        <v>12</v>
      </c>
      <c r="F108" s="292"/>
      <c r="G108" s="5" t="s">
        <v>44</v>
      </c>
      <c r="H108" s="292"/>
      <c r="I108" s="4"/>
      <c r="J108" s="5">
        <f t="shared" si="5"/>
        <v>0</v>
      </c>
      <c r="K108" s="5">
        <f t="shared" si="6"/>
        <v>0</v>
      </c>
    </row>
    <row r="109" spans="1:11" ht="12" customHeight="1" x14ac:dyDescent="0.2">
      <c r="A109" s="4"/>
      <c r="B109" s="4" t="s">
        <v>642</v>
      </c>
      <c r="C109" s="5" t="s">
        <v>11</v>
      </c>
      <c r="D109" s="291"/>
      <c r="E109" s="5" t="s">
        <v>12</v>
      </c>
      <c r="F109" s="292"/>
      <c r="G109" s="5" t="s">
        <v>44</v>
      </c>
      <c r="H109" s="292"/>
      <c r="I109" s="4"/>
      <c r="J109" s="5">
        <f t="shared" si="5"/>
        <v>0</v>
      </c>
      <c r="K109" s="5">
        <f t="shared" si="6"/>
        <v>0</v>
      </c>
    </row>
    <row r="110" spans="1:11" ht="12" customHeight="1" x14ac:dyDescent="0.2">
      <c r="A110" s="4"/>
      <c r="B110" s="4" t="s">
        <v>643</v>
      </c>
      <c r="C110" s="5" t="s">
        <v>11</v>
      </c>
      <c r="D110" s="291"/>
      <c r="E110" s="5" t="s">
        <v>12</v>
      </c>
      <c r="F110" s="292"/>
      <c r="G110" s="5" t="s">
        <v>44</v>
      </c>
      <c r="H110" s="292"/>
      <c r="I110" s="4"/>
      <c r="J110" s="5">
        <f t="shared" si="5"/>
        <v>0</v>
      </c>
      <c r="K110" s="5">
        <f t="shared" si="6"/>
        <v>0</v>
      </c>
    </row>
    <row r="111" spans="1:11" ht="12" customHeight="1" x14ac:dyDescent="0.2">
      <c r="A111" s="4"/>
      <c r="B111" s="4" t="s">
        <v>644</v>
      </c>
      <c r="C111" s="5" t="s">
        <v>11</v>
      </c>
      <c r="D111" s="291"/>
      <c r="E111" s="5" t="s">
        <v>12</v>
      </c>
      <c r="F111" s="292"/>
      <c r="G111" s="5" t="s">
        <v>44</v>
      </c>
      <c r="H111" s="292"/>
      <c r="I111" s="4"/>
      <c r="J111" s="5">
        <f t="shared" si="5"/>
        <v>0</v>
      </c>
      <c r="K111" s="5">
        <f t="shared" si="6"/>
        <v>0</v>
      </c>
    </row>
    <row r="112" spans="1:11" ht="12" customHeight="1" x14ac:dyDescent="0.2">
      <c r="A112" s="4"/>
      <c r="B112" s="4" t="s">
        <v>645</v>
      </c>
      <c r="C112" s="5" t="s">
        <v>11</v>
      </c>
      <c r="D112" s="291"/>
      <c r="E112" s="5" t="s">
        <v>12</v>
      </c>
      <c r="F112" s="292"/>
      <c r="G112" s="5" t="s">
        <v>44</v>
      </c>
      <c r="H112" s="292"/>
      <c r="I112" s="4"/>
      <c r="J112" s="5">
        <f t="shared" si="5"/>
        <v>0</v>
      </c>
      <c r="K112" s="5">
        <f t="shared" si="6"/>
        <v>0</v>
      </c>
    </row>
    <row r="113" spans="1:11" ht="12" customHeight="1" x14ac:dyDescent="0.2">
      <c r="A113" s="4"/>
      <c r="B113" s="4" t="s">
        <v>646</v>
      </c>
      <c r="C113" s="5" t="s">
        <v>11</v>
      </c>
      <c r="D113" s="291"/>
      <c r="E113" s="5" t="s">
        <v>12</v>
      </c>
      <c r="F113" s="292"/>
      <c r="G113" s="5" t="s">
        <v>44</v>
      </c>
      <c r="H113" s="292"/>
      <c r="I113" s="4"/>
      <c r="J113" s="5">
        <f t="shared" si="5"/>
        <v>0</v>
      </c>
      <c r="K113" s="5">
        <f t="shared" si="6"/>
        <v>0</v>
      </c>
    </row>
    <row r="114" spans="1:11" ht="12" customHeight="1" x14ac:dyDescent="0.2">
      <c r="A114" s="4"/>
      <c r="B114" s="4"/>
      <c r="C114" s="4"/>
      <c r="D114" s="4"/>
      <c r="E114" s="4"/>
      <c r="F114" s="4"/>
      <c r="G114" s="4"/>
      <c r="H114" s="4"/>
      <c r="I114" s="4" t="s">
        <v>327</v>
      </c>
      <c r="J114" s="5">
        <f>SUM(J94:J113)</f>
        <v>0</v>
      </c>
      <c r="K114" s="5">
        <f>SUM(K94:K113)</f>
        <v>0</v>
      </c>
    </row>
    <row r="115" spans="1:11" ht="12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5"/>
      <c r="K115" s="5"/>
    </row>
    <row r="116" spans="1:11" ht="12" customHeight="1" x14ac:dyDescent="0.2">
      <c r="A116" s="12" t="s">
        <v>681</v>
      </c>
      <c r="B116" s="4"/>
      <c r="C116" s="4"/>
      <c r="D116" s="4"/>
      <c r="E116" s="4"/>
      <c r="F116" s="4"/>
      <c r="G116" s="4"/>
      <c r="H116" s="4"/>
      <c r="I116" s="4"/>
      <c r="J116" s="5" t="s">
        <v>624</v>
      </c>
      <c r="K116" s="5" t="s">
        <v>328</v>
      </c>
    </row>
    <row r="117" spans="1:11" ht="12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5" t="s">
        <v>625</v>
      </c>
      <c r="K117" s="5" t="s">
        <v>626</v>
      </c>
    </row>
    <row r="118" spans="1:11" ht="12" customHeight="1" x14ac:dyDescent="0.2">
      <c r="A118" s="4"/>
      <c r="B118" s="4" t="s">
        <v>10</v>
      </c>
      <c r="C118" s="5" t="s">
        <v>11</v>
      </c>
      <c r="D118" s="19">
        <f>Input!D78</f>
        <v>0</v>
      </c>
      <c r="E118" s="5" t="s">
        <v>12</v>
      </c>
      <c r="F118" s="20">
        <f>Input!F78</f>
        <v>0</v>
      </c>
      <c r="G118" s="5" t="s">
        <v>44</v>
      </c>
      <c r="H118" s="20">
        <f>Input!H78</f>
        <v>0</v>
      </c>
      <c r="I118" s="4" t="s">
        <v>682</v>
      </c>
      <c r="J118" s="5">
        <f t="shared" ref="J118:J142" si="7">D118*F118*H118</f>
        <v>0</v>
      </c>
      <c r="K118" s="23">
        <f t="shared" ref="K118:K142" si="8">(D118*F118)+(8*F118*H118*1.25)^0.5 *D118</f>
        <v>0</v>
      </c>
    </row>
    <row r="119" spans="1:11" ht="12" customHeight="1" x14ac:dyDescent="0.2">
      <c r="A119" s="4"/>
      <c r="B119" s="4" t="s">
        <v>14</v>
      </c>
      <c r="C119" s="5" t="s">
        <v>11</v>
      </c>
      <c r="D119" s="19">
        <f>Input!D79</f>
        <v>0</v>
      </c>
      <c r="E119" s="5" t="s">
        <v>12</v>
      </c>
      <c r="F119" s="20">
        <f>Input!F79</f>
        <v>0</v>
      </c>
      <c r="G119" s="5" t="s">
        <v>44</v>
      </c>
      <c r="H119" s="20">
        <f>Input!H79</f>
        <v>0</v>
      </c>
      <c r="I119" s="4" t="s">
        <v>629</v>
      </c>
      <c r="J119" s="5">
        <f t="shared" si="7"/>
        <v>0</v>
      </c>
      <c r="K119" s="23">
        <f t="shared" si="8"/>
        <v>0</v>
      </c>
    </row>
    <row r="120" spans="1:11" ht="12" customHeight="1" x14ac:dyDescent="0.2">
      <c r="A120" s="4"/>
      <c r="B120" s="4" t="s">
        <v>15</v>
      </c>
      <c r="C120" s="5" t="s">
        <v>11</v>
      </c>
      <c r="D120" s="19">
        <f>Input!D80</f>
        <v>0</v>
      </c>
      <c r="E120" s="5" t="s">
        <v>12</v>
      </c>
      <c r="F120" s="20">
        <f>Input!F80</f>
        <v>0</v>
      </c>
      <c r="G120" s="5" t="s">
        <v>44</v>
      </c>
      <c r="H120" s="20">
        <f>Input!H80</f>
        <v>0</v>
      </c>
      <c r="I120" s="4"/>
      <c r="J120" s="5">
        <f t="shared" si="7"/>
        <v>0</v>
      </c>
      <c r="K120" s="23">
        <f t="shared" si="8"/>
        <v>0</v>
      </c>
    </row>
    <row r="121" spans="1:11" ht="12" customHeight="1" x14ac:dyDescent="0.2">
      <c r="A121" s="4"/>
      <c r="B121" s="4" t="s">
        <v>37</v>
      </c>
      <c r="C121" s="5" t="s">
        <v>11</v>
      </c>
      <c r="D121" s="19">
        <f>Input!D81</f>
        <v>0</v>
      </c>
      <c r="E121" s="5" t="s">
        <v>12</v>
      </c>
      <c r="F121" s="20">
        <f>Input!F81</f>
        <v>0</v>
      </c>
      <c r="G121" s="5" t="s">
        <v>44</v>
      </c>
      <c r="H121" s="20">
        <f>Input!H81</f>
        <v>0</v>
      </c>
      <c r="I121" s="4"/>
      <c r="J121" s="5">
        <f t="shared" si="7"/>
        <v>0</v>
      </c>
      <c r="K121" s="23">
        <f t="shared" si="8"/>
        <v>0</v>
      </c>
    </row>
    <row r="122" spans="1:11" ht="12" customHeight="1" x14ac:dyDescent="0.2">
      <c r="A122" s="4"/>
      <c r="B122" s="4" t="s">
        <v>38</v>
      </c>
      <c r="C122" s="5" t="s">
        <v>11</v>
      </c>
      <c r="D122" s="19">
        <f>Input!D82</f>
        <v>0</v>
      </c>
      <c r="E122" s="5" t="s">
        <v>12</v>
      </c>
      <c r="F122" s="20">
        <f>Input!F82</f>
        <v>0</v>
      </c>
      <c r="G122" s="5" t="s">
        <v>44</v>
      </c>
      <c r="H122" s="20">
        <f>Input!H82</f>
        <v>0</v>
      </c>
      <c r="I122" s="4"/>
      <c r="J122" s="5">
        <f t="shared" si="7"/>
        <v>0</v>
      </c>
      <c r="K122" s="23">
        <f t="shared" si="8"/>
        <v>0</v>
      </c>
    </row>
    <row r="123" spans="1:11" ht="12" customHeight="1" x14ac:dyDescent="0.2">
      <c r="A123" s="4"/>
      <c r="B123" s="4" t="s">
        <v>39</v>
      </c>
      <c r="C123" s="5" t="s">
        <v>11</v>
      </c>
      <c r="D123" s="19">
        <f>Input!D83</f>
        <v>0</v>
      </c>
      <c r="E123" s="5" t="s">
        <v>12</v>
      </c>
      <c r="F123" s="20">
        <f>Input!F83</f>
        <v>0</v>
      </c>
      <c r="G123" s="5" t="s">
        <v>44</v>
      </c>
      <c r="H123" s="20">
        <f>Input!H83</f>
        <v>0</v>
      </c>
      <c r="I123" s="4"/>
      <c r="J123" s="5">
        <f t="shared" si="7"/>
        <v>0</v>
      </c>
      <c r="K123" s="23">
        <f t="shared" si="8"/>
        <v>0</v>
      </c>
    </row>
    <row r="124" spans="1:11" ht="12" customHeight="1" x14ac:dyDescent="0.2">
      <c r="A124" s="4"/>
      <c r="B124" s="4" t="s">
        <v>40</v>
      </c>
      <c r="C124" s="5" t="s">
        <v>11</v>
      </c>
      <c r="D124" s="19">
        <f>Input!D84</f>
        <v>0</v>
      </c>
      <c r="E124" s="5" t="s">
        <v>12</v>
      </c>
      <c r="F124" s="20">
        <f>Input!F84</f>
        <v>0</v>
      </c>
      <c r="G124" s="5" t="s">
        <v>44</v>
      </c>
      <c r="H124" s="20">
        <f>Input!H84</f>
        <v>0</v>
      </c>
      <c r="I124" s="4"/>
      <c r="J124" s="5">
        <f t="shared" si="7"/>
        <v>0</v>
      </c>
      <c r="K124" s="23">
        <f t="shared" si="8"/>
        <v>0</v>
      </c>
    </row>
    <row r="125" spans="1:11" ht="12" customHeight="1" x14ac:dyDescent="0.2">
      <c r="A125" s="4"/>
      <c r="B125" s="4" t="s">
        <v>41</v>
      </c>
      <c r="C125" s="5" t="s">
        <v>11</v>
      </c>
      <c r="D125" s="19">
        <f>Input!D85</f>
        <v>0</v>
      </c>
      <c r="E125" s="5" t="s">
        <v>12</v>
      </c>
      <c r="F125" s="20">
        <f>Input!F85</f>
        <v>0</v>
      </c>
      <c r="G125" s="5" t="s">
        <v>44</v>
      </c>
      <c r="H125" s="20">
        <f>Input!H85</f>
        <v>0</v>
      </c>
      <c r="I125" s="4"/>
      <c r="J125" s="5">
        <f t="shared" si="7"/>
        <v>0</v>
      </c>
      <c r="K125" s="23">
        <f t="shared" si="8"/>
        <v>0</v>
      </c>
    </row>
    <row r="126" spans="1:11" ht="12" customHeight="1" x14ac:dyDescent="0.2">
      <c r="A126" s="4"/>
      <c r="B126" s="4" t="s">
        <v>42</v>
      </c>
      <c r="C126" s="5" t="s">
        <v>11</v>
      </c>
      <c r="D126" s="19">
        <f>Input!D86</f>
        <v>0</v>
      </c>
      <c r="E126" s="5" t="s">
        <v>12</v>
      </c>
      <c r="F126" s="20">
        <f>Input!F86</f>
        <v>0</v>
      </c>
      <c r="G126" s="5" t="s">
        <v>44</v>
      </c>
      <c r="H126" s="20">
        <f>Input!H86</f>
        <v>0</v>
      </c>
      <c r="I126" s="4"/>
      <c r="J126" s="5">
        <f t="shared" si="7"/>
        <v>0</v>
      </c>
      <c r="K126" s="23">
        <f t="shared" si="8"/>
        <v>0</v>
      </c>
    </row>
    <row r="127" spans="1:11" ht="12" customHeight="1" x14ac:dyDescent="0.2">
      <c r="A127" s="4"/>
      <c r="B127" s="4" t="s">
        <v>43</v>
      </c>
      <c r="C127" s="5" t="s">
        <v>11</v>
      </c>
      <c r="D127" s="19">
        <f>Input!D87</f>
        <v>0</v>
      </c>
      <c r="E127" s="5" t="s">
        <v>12</v>
      </c>
      <c r="F127" s="20">
        <f>Input!F87</f>
        <v>0</v>
      </c>
      <c r="G127" s="5" t="s">
        <v>44</v>
      </c>
      <c r="H127" s="20">
        <f>Input!H87</f>
        <v>0</v>
      </c>
      <c r="I127" s="4"/>
      <c r="J127" s="5">
        <f t="shared" si="7"/>
        <v>0</v>
      </c>
      <c r="K127" s="23">
        <f t="shared" si="8"/>
        <v>0</v>
      </c>
    </row>
    <row r="128" spans="1:11" ht="12" customHeight="1" x14ac:dyDescent="0.2">
      <c r="A128" s="4"/>
      <c r="B128" s="4" t="s">
        <v>632</v>
      </c>
      <c r="C128" s="5" t="s">
        <v>11</v>
      </c>
      <c r="D128" s="292"/>
      <c r="E128" s="5" t="s">
        <v>12</v>
      </c>
      <c r="F128" s="292"/>
      <c r="G128" s="5" t="s">
        <v>44</v>
      </c>
      <c r="H128" s="292"/>
      <c r="I128" s="4" t="s">
        <v>683</v>
      </c>
      <c r="J128" s="5">
        <f t="shared" si="7"/>
        <v>0</v>
      </c>
      <c r="K128" s="23">
        <f t="shared" si="8"/>
        <v>0</v>
      </c>
    </row>
    <row r="129" spans="1:11" ht="12" customHeight="1" x14ac:dyDescent="0.2">
      <c r="A129" s="4"/>
      <c r="B129" s="4" t="s">
        <v>633</v>
      </c>
      <c r="C129" s="5" t="s">
        <v>11</v>
      </c>
      <c r="D129" s="292"/>
      <c r="E129" s="5" t="s">
        <v>12</v>
      </c>
      <c r="F129" s="292"/>
      <c r="G129" s="5" t="s">
        <v>44</v>
      </c>
      <c r="H129" s="292"/>
      <c r="I129" s="4" t="s">
        <v>684</v>
      </c>
      <c r="J129" s="5">
        <f t="shared" si="7"/>
        <v>0</v>
      </c>
      <c r="K129" s="23">
        <f t="shared" si="8"/>
        <v>0</v>
      </c>
    </row>
    <row r="130" spans="1:11" ht="12" customHeight="1" x14ac:dyDescent="0.2">
      <c r="A130" s="4"/>
      <c r="B130" s="4" t="s">
        <v>634</v>
      </c>
      <c r="C130" s="5" t="s">
        <v>11</v>
      </c>
      <c r="D130" s="292"/>
      <c r="E130" s="5" t="s">
        <v>12</v>
      </c>
      <c r="F130" s="292"/>
      <c r="G130" s="5" t="s">
        <v>44</v>
      </c>
      <c r="H130" s="292"/>
      <c r="I130" s="4"/>
      <c r="J130" s="5">
        <f t="shared" si="7"/>
        <v>0</v>
      </c>
      <c r="K130" s="23">
        <f t="shared" si="8"/>
        <v>0</v>
      </c>
    </row>
    <row r="131" spans="1:11" ht="12" customHeight="1" x14ac:dyDescent="0.2">
      <c r="A131" s="4"/>
      <c r="B131" s="4" t="s">
        <v>635</v>
      </c>
      <c r="C131" s="5" t="s">
        <v>11</v>
      </c>
      <c r="D131" s="292"/>
      <c r="E131" s="5" t="s">
        <v>12</v>
      </c>
      <c r="F131" s="292"/>
      <c r="G131" s="5" t="s">
        <v>44</v>
      </c>
      <c r="H131" s="292"/>
      <c r="I131" s="4"/>
      <c r="J131" s="5">
        <f t="shared" si="7"/>
        <v>0</v>
      </c>
      <c r="K131" s="23">
        <f t="shared" si="8"/>
        <v>0</v>
      </c>
    </row>
    <row r="132" spans="1:11" ht="12" customHeight="1" x14ac:dyDescent="0.2">
      <c r="A132" s="4"/>
      <c r="B132" s="4" t="s">
        <v>636</v>
      </c>
      <c r="C132" s="5" t="s">
        <v>11</v>
      </c>
      <c r="D132" s="292"/>
      <c r="E132" s="5" t="s">
        <v>12</v>
      </c>
      <c r="F132" s="292"/>
      <c r="G132" s="5" t="s">
        <v>44</v>
      </c>
      <c r="H132" s="292"/>
      <c r="I132" s="4"/>
      <c r="J132" s="5">
        <f t="shared" si="7"/>
        <v>0</v>
      </c>
      <c r="K132" s="23">
        <f t="shared" si="8"/>
        <v>0</v>
      </c>
    </row>
    <row r="133" spans="1:11" ht="12" customHeight="1" x14ac:dyDescent="0.2">
      <c r="A133" s="4"/>
      <c r="B133" s="4" t="s">
        <v>642</v>
      </c>
      <c r="C133" s="5" t="s">
        <v>11</v>
      </c>
      <c r="D133" s="292"/>
      <c r="E133" s="5" t="s">
        <v>12</v>
      </c>
      <c r="F133" s="292"/>
      <c r="G133" s="5" t="s">
        <v>44</v>
      </c>
      <c r="H133" s="292"/>
      <c r="I133" s="4"/>
      <c r="J133" s="5">
        <f t="shared" si="7"/>
        <v>0</v>
      </c>
      <c r="K133" s="23">
        <f t="shared" si="8"/>
        <v>0</v>
      </c>
    </row>
    <row r="134" spans="1:11" ht="12" customHeight="1" x14ac:dyDescent="0.2">
      <c r="A134" s="4"/>
      <c r="B134" s="4" t="s">
        <v>643</v>
      </c>
      <c r="C134" s="5" t="s">
        <v>11</v>
      </c>
      <c r="D134" s="292"/>
      <c r="E134" s="5" t="s">
        <v>12</v>
      </c>
      <c r="F134" s="292"/>
      <c r="G134" s="5" t="s">
        <v>44</v>
      </c>
      <c r="H134" s="292"/>
      <c r="I134" s="4"/>
      <c r="J134" s="5">
        <f t="shared" si="7"/>
        <v>0</v>
      </c>
      <c r="K134" s="23">
        <f t="shared" si="8"/>
        <v>0</v>
      </c>
    </row>
    <row r="135" spans="1:11" ht="12" customHeight="1" x14ac:dyDescent="0.2">
      <c r="A135" s="4"/>
      <c r="B135" s="4" t="s">
        <v>644</v>
      </c>
      <c r="C135" s="5" t="s">
        <v>11</v>
      </c>
      <c r="D135" s="292"/>
      <c r="E135" s="5" t="s">
        <v>12</v>
      </c>
      <c r="F135" s="292"/>
      <c r="G135" s="5" t="s">
        <v>44</v>
      </c>
      <c r="H135" s="292"/>
      <c r="I135" s="4"/>
      <c r="J135" s="5">
        <f t="shared" si="7"/>
        <v>0</v>
      </c>
      <c r="K135" s="23">
        <f t="shared" si="8"/>
        <v>0</v>
      </c>
    </row>
    <row r="136" spans="1:11" ht="12" customHeight="1" x14ac:dyDescent="0.2">
      <c r="A136" s="4"/>
      <c r="B136" s="4" t="s">
        <v>645</v>
      </c>
      <c r="C136" s="5" t="s">
        <v>11</v>
      </c>
      <c r="D136" s="292"/>
      <c r="E136" s="5" t="s">
        <v>12</v>
      </c>
      <c r="F136" s="292"/>
      <c r="G136" s="5" t="s">
        <v>44</v>
      </c>
      <c r="H136" s="292"/>
      <c r="I136" s="4"/>
      <c r="J136" s="5">
        <f t="shared" si="7"/>
        <v>0</v>
      </c>
      <c r="K136" s="23">
        <f t="shared" si="8"/>
        <v>0</v>
      </c>
    </row>
    <row r="137" spans="1:11" ht="12" customHeight="1" x14ac:dyDescent="0.2">
      <c r="A137" s="4"/>
      <c r="B137" s="4" t="s">
        <v>646</v>
      </c>
      <c r="C137" s="5" t="s">
        <v>11</v>
      </c>
      <c r="D137" s="292"/>
      <c r="E137" s="5" t="s">
        <v>12</v>
      </c>
      <c r="F137" s="292"/>
      <c r="G137" s="5" t="s">
        <v>44</v>
      </c>
      <c r="H137" s="292"/>
      <c r="I137" s="4"/>
      <c r="J137" s="5">
        <f t="shared" si="7"/>
        <v>0</v>
      </c>
      <c r="K137" s="23">
        <f t="shared" si="8"/>
        <v>0</v>
      </c>
    </row>
    <row r="138" spans="1:11" ht="12" customHeight="1" x14ac:dyDescent="0.2">
      <c r="A138" s="4"/>
      <c r="B138" s="4" t="s">
        <v>647</v>
      </c>
      <c r="C138" s="5" t="s">
        <v>11</v>
      </c>
      <c r="D138" s="292"/>
      <c r="E138" s="5" t="s">
        <v>12</v>
      </c>
      <c r="F138" s="292"/>
      <c r="G138" s="5" t="s">
        <v>44</v>
      </c>
      <c r="H138" s="292"/>
      <c r="I138" s="4"/>
      <c r="J138" s="5">
        <f t="shared" si="7"/>
        <v>0</v>
      </c>
      <c r="K138" s="23">
        <f t="shared" si="8"/>
        <v>0</v>
      </c>
    </row>
    <row r="139" spans="1:11" ht="12" customHeight="1" x14ac:dyDescent="0.2">
      <c r="A139" s="4"/>
      <c r="B139" s="4" t="s">
        <v>648</v>
      </c>
      <c r="C139" s="5" t="s">
        <v>11</v>
      </c>
      <c r="D139" s="292"/>
      <c r="E139" s="5" t="s">
        <v>12</v>
      </c>
      <c r="F139" s="292"/>
      <c r="G139" s="5" t="s">
        <v>44</v>
      </c>
      <c r="H139" s="292"/>
      <c r="I139" s="4"/>
      <c r="J139" s="5">
        <f t="shared" si="7"/>
        <v>0</v>
      </c>
      <c r="K139" s="23">
        <f t="shared" si="8"/>
        <v>0</v>
      </c>
    </row>
    <row r="140" spans="1:11" ht="12" customHeight="1" x14ac:dyDescent="0.2">
      <c r="A140" s="4"/>
      <c r="B140" s="4" t="s">
        <v>649</v>
      </c>
      <c r="C140" s="5" t="s">
        <v>11</v>
      </c>
      <c r="D140" s="292"/>
      <c r="E140" s="5" t="s">
        <v>12</v>
      </c>
      <c r="F140" s="292"/>
      <c r="G140" s="5" t="s">
        <v>44</v>
      </c>
      <c r="H140" s="292"/>
      <c r="I140" s="4"/>
      <c r="J140" s="5">
        <f t="shared" si="7"/>
        <v>0</v>
      </c>
      <c r="K140" s="23">
        <f t="shared" si="8"/>
        <v>0</v>
      </c>
    </row>
    <row r="141" spans="1:11" ht="12" customHeight="1" x14ac:dyDescent="0.2">
      <c r="A141" s="4"/>
      <c r="B141" s="4" t="s">
        <v>650</v>
      </c>
      <c r="C141" s="5" t="s">
        <v>11</v>
      </c>
      <c r="D141" s="292"/>
      <c r="E141" s="5" t="s">
        <v>12</v>
      </c>
      <c r="F141" s="292"/>
      <c r="G141" s="5" t="s">
        <v>44</v>
      </c>
      <c r="H141" s="292"/>
      <c r="I141" s="4"/>
      <c r="J141" s="5">
        <f t="shared" si="7"/>
        <v>0</v>
      </c>
      <c r="K141" s="23">
        <f t="shared" si="8"/>
        <v>0</v>
      </c>
    </row>
    <row r="142" spans="1:11" ht="12" customHeight="1" x14ac:dyDescent="0.2">
      <c r="A142" s="4"/>
      <c r="B142" s="4" t="s">
        <v>651</v>
      </c>
      <c r="C142" s="5" t="s">
        <v>11</v>
      </c>
      <c r="D142" s="292"/>
      <c r="E142" s="5" t="s">
        <v>12</v>
      </c>
      <c r="F142" s="292"/>
      <c r="G142" s="5" t="s">
        <v>44</v>
      </c>
      <c r="H142" s="292"/>
      <c r="I142" s="4"/>
      <c r="J142" s="5">
        <f t="shared" si="7"/>
        <v>0</v>
      </c>
      <c r="K142" s="23">
        <f t="shared" si="8"/>
        <v>0</v>
      </c>
    </row>
    <row r="143" spans="1:11" ht="12" customHeight="1" x14ac:dyDescent="0.2">
      <c r="A143" s="4"/>
      <c r="B143" s="4"/>
      <c r="C143" s="4"/>
      <c r="D143" s="4"/>
      <c r="E143" s="4"/>
      <c r="F143" s="4"/>
      <c r="G143" s="4"/>
      <c r="H143" s="4"/>
      <c r="I143" s="4" t="s">
        <v>327</v>
      </c>
      <c r="J143" s="5">
        <f>SUM(J118:J142)</f>
        <v>0</v>
      </c>
      <c r="K143" s="23">
        <f>SUM(K118:K142)</f>
        <v>0</v>
      </c>
    </row>
    <row r="144" spans="1:11" ht="12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sheetProtection algorithmName="SHA-512" hashValue="GQ0tYYtoDKEPBZhC1Eqisaf23wzDsHNt5I+XRlcmv6tmDeFZJlBVl4vPKPtpLgvmobc8wqUw6wru8Fdauj5nfA==" saltValue="H92cLk17MwewnvTV26RkmQ==" spinCount="100000" sheet="1" objects="1" scenarios="1" selectLockedCells="1"/>
  <pageMargins left="0.75" right="0.75" top="1" bottom="1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00"/>
  <sheetViews>
    <sheetView topLeftCell="A83" workbookViewId="0">
      <selection activeCell="C89" sqref="C89"/>
    </sheetView>
  </sheetViews>
  <sheetFormatPr defaultColWidth="14.42578125" defaultRowHeight="15" customHeight="1" x14ac:dyDescent="0.2"/>
  <cols>
    <col min="1" max="1" width="35.7109375" customWidth="1"/>
    <col min="2" max="2" width="10.140625" customWidth="1"/>
    <col min="3" max="3" width="19.140625" bestFit="1" customWidth="1"/>
    <col min="4" max="4" width="11" customWidth="1"/>
    <col min="5" max="5" width="11.140625" customWidth="1"/>
    <col min="6" max="6" width="11.7109375" customWidth="1"/>
    <col min="7" max="7" width="11.42578125" customWidth="1"/>
    <col min="8" max="8" width="10.5703125" customWidth="1"/>
    <col min="9" max="9" width="13.42578125" customWidth="1"/>
    <col min="10" max="10" width="12.7109375" bestFit="1" customWidth="1"/>
    <col min="11" max="11" width="10.140625" bestFit="1" customWidth="1"/>
    <col min="12" max="12" width="9.28515625" customWidth="1"/>
    <col min="13" max="24" width="8.7109375" customWidth="1"/>
  </cols>
  <sheetData>
    <row r="1" spans="1:10" ht="12" customHeight="1" thickBot="1" x14ac:dyDescent="0.25">
      <c r="A1" s="12" t="s">
        <v>132</v>
      </c>
      <c r="B1" s="4"/>
      <c r="C1" s="4"/>
      <c r="D1" s="4"/>
      <c r="E1" s="4"/>
      <c r="F1" s="4"/>
      <c r="G1" s="4"/>
      <c r="H1" s="4"/>
      <c r="I1" s="4"/>
      <c r="J1" s="4"/>
    </row>
    <row r="2" spans="1:10" ht="12" customHeight="1" x14ac:dyDescent="0.25">
      <c r="A2" s="13" t="s">
        <v>133</v>
      </c>
      <c r="B2" s="121"/>
      <c r="C2" s="121"/>
      <c r="D2" s="121"/>
      <c r="E2" s="121"/>
      <c r="F2" s="121"/>
      <c r="G2" s="121"/>
      <c r="H2" s="121"/>
      <c r="I2" s="121"/>
      <c r="J2" s="4"/>
    </row>
    <row r="3" spans="1:10" ht="12" customHeight="1" x14ac:dyDescent="0.2">
      <c r="A3" s="122" t="s">
        <v>134</v>
      </c>
      <c r="B3" s="11" t="s">
        <v>135</v>
      </c>
      <c r="C3" s="4"/>
      <c r="D3" s="4"/>
      <c r="E3" s="4"/>
      <c r="F3" s="4"/>
      <c r="G3" s="4"/>
      <c r="H3" s="4"/>
      <c r="I3" s="4"/>
      <c r="J3" s="4"/>
    </row>
    <row r="4" spans="1:10" ht="12" customHeight="1" x14ac:dyDescent="0.2">
      <c r="A4" s="123" t="s">
        <v>136</v>
      </c>
      <c r="B4" s="4" t="s">
        <v>137</v>
      </c>
      <c r="C4" s="4"/>
      <c r="D4" s="4"/>
      <c r="E4" s="4"/>
      <c r="F4" s="4"/>
      <c r="G4" s="4"/>
      <c r="H4" s="4"/>
      <c r="I4" s="4"/>
      <c r="J4" s="4"/>
    </row>
    <row r="5" spans="1:10" ht="12" customHeight="1" x14ac:dyDescent="0.2">
      <c r="A5" s="123" t="s">
        <v>138</v>
      </c>
      <c r="B5" s="4" t="s">
        <v>139</v>
      </c>
      <c r="C5" s="4"/>
      <c r="D5" s="4"/>
      <c r="E5" s="4"/>
      <c r="F5" s="4"/>
      <c r="G5" s="4"/>
      <c r="H5" s="4"/>
      <c r="I5" s="4"/>
      <c r="J5" s="4"/>
    </row>
    <row r="6" spans="1:10" ht="12" customHeight="1" x14ac:dyDescent="0.2">
      <c r="A6" s="123" t="s">
        <v>140</v>
      </c>
      <c r="B6" s="4" t="s">
        <v>141</v>
      </c>
      <c r="C6" s="4"/>
      <c r="D6" s="4"/>
      <c r="E6" s="4"/>
      <c r="F6" s="4"/>
      <c r="G6" s="4"/>
      <c r="H6" s="4"/>
      <c r="I6" s="4"/>
      <c r="J6" s="4"/>
    </row>
    <row r="7" spans="1:10" ht="12" customHeight="1" x14ac:dyDescent="0.2">
      <c r="A7" s="123" t="s">
        <v>142</v>
      </c>
      <c r="B7" s="4" t="s">
        <v>143</v>
      </c>
      <c r="C7" s="4"/>
      <c r="D7" s="4"/>
      <c r="E7" s="4"/>
      <c r="F7" s="4"/>
      <c r="G7" s="4"/>
      <c r="H7" s="4"/>
      <c r="I7" s="4"/>
      <c r="J7" s="4"/>
    </row>
    <row r="8" spans="1:10" ht="12" customHeight="1" x14ac:dyDescent="0.2">
      <c r="A8" s="123" t="s">
        <v>144</v>
      </c>
      <c r="B8" s="4" t="s">
        <v>145</v>
      </c>
      <c r="C8" s="4"/>
      <c r="D8" s="4"/>
      <c r="E8" s="4"/>
      <c r="F8" s="4"/>
      <c r="G8" s="4"/>
      <c r="H8" s="4"/>
      <c r="I8" s="4"/>
      <c r="J8" s="4"/>
    </row>
    <row r="9" spans="1:10" ht="12" customHeight="1" x14ac:dyDescent="0.2">
      <c r="A9" s="123" t="s">
        <v>146</v>
      </c>
      <c r="B9" s="4" t="s">
        <v>147</v>
      </c>
      <c r="C9" s="4"/>
      <c r="D9" s="4"/>
      <c r="E9" s="4"/>
      <c r="F9" s="4"/>
      <c r="G9" s="4"/>
      <c r="H9" s="4"/>
      <c r="I9" s="4"/>
      <c r="J9" s="4"/>
    </row>
    <row r="10" spans="1:10" ht="12" customHeight="1" x14ac:dyDescent="0.2">
      <c r="A10" s="123" t="s">
        <v>148</v>
      </c>
      <c r="B10" s="4" t="s">
        <v>149</v>
      </c>
      <c r="C10" s="4"/>
      <c r="D10" s="4"/>
      <c r="E10" s="4"/>
      <c r="F10" s="4"/>
      <c r="G10" s="4"/>
      <c r="H10" s="4"/>
      <c r="I10" s="4"/>
      <c r="J10" s="4"/>
    </row>
    <row r="11" spans="1:10" ht="12" customHeight="1" x14ac:dyDescent="0.2">
      <c r="A11" s="123"/>
      <c r="B11" s="4" t="s">
        <v>150</v>
      </c>
      <c r="C11" s="4"/>
      <c r="D11" s="4"/>
      <c r="E11" s="4"/>
      <c r="F11" s="4"/>
      <c r="G11" s="4"/>
      <c r="H11" s="4"/>
      <c r="I11" s="4"/>
      <c r="J11" s="4"/>
    </row>
    <row r="12" spans="1:10" ht="12" customHeight="1" x14ac:dyDescent="0.2">
      <c r="A12" s="123"/>
      <c r="B12" s="4" t="s">
        <v>151</v>
      </c>
      <c r="C12" s="4"/>
      <c r="D12" s="4"/>
      <c r="E12" s="4"/>
      <c r="F12" s="4"/>
      <c r="G12" s="4"/>
      <c r="H12" s="4"/>
      <c r="I12" s="4"/>
      <c r="J12" s="4"/>
    </row>
    <row r="13" spans="1:10" ht="12" customHeight="1" x14ac:dyDescent="0.2">
      <c r="A13" s="123" t="s">
        <v>152</v>
      </c>
      <c r="B13" s="4" t="s">
        <v>153</v>
      </c>
      <c r="C13" s="4"/>
      <c r="D13" s="4"/>
      <c r="E13" s="4"/>
      <c r="F13" s="4"/>
      <c r="G13" s="4"/>
      <c r="H13" s="4"/>
      <c r="I13" s="4"/>
      <c r="J13" s="4"/>
    </row>
    <row r="14" spans="1:10" ht="12" customHeight="1" x14ac:dyDescent="0.2">
      <c r="A14" s="123" t="s">
        <v>154</v>
      </c>
      <c r="B14" s="4" t="s">
        <v>155</v>
      </c>
      <c r="C14" s="4"/>
      <c r="D14" s="4"/>
      <c r="E14" s="4"/>
      <c r="F14" s="4"/>
      <c r="G14" s="4"/>
      <c r="H14" s="4"/>
      <c r="I14" s="4"/>
      <c r="J14" s="4"/>
    </row>
    <row r="15" spans="1:10" ht="12" customHeight="1" x14ac:dyDescent="0.2">
      <c r="A15" s="123" t="s">
        <v>156</v>
      </c>
      <c r="B15" s="4" t="s">
        <v>157</v>
      </c>
      <c r="C15" s="4"/>
      <c r="D15" s="4"/>
      <c r="E15" s="4"/>
      <c r="F15" s="4"/>
      <c r="G15" s="4"/>
      <c r="H15" s="4"/>
      <c r="I15" s="4"/>
      <c r="J15" s="4"/>
    </row>
    <row r="16" spans="1:10" ht="12" customHeight="1" x14ac:dyDescent="0.2">
      <c r="A16" s="123" t="s">
        <v>158</v>
      </c>
      <c r="B16" s="4" t="s">
        <v>159</v>
      </c>
      <c r="C16" s="4"/>
      <c r="D16" s="4"/>
      <c r="E16" s="4"/>
      <c r="F16" s="4"/>
      <c r="G16" s="4"/>
      <c r="H16" s="4"/>
      <c r="I16" s="4"/>
      <c r="J16" s="4"/>
    </row>
    <row r="17" spans="1:10" ht="12" customHeight="1" x14ac:dyDescent="0.2">
      <c r="A17" s="123" t="s">
        <v>160</v>
      </c>
      <c r="B17" s="4" t="s">
        <v>161</v>
      </c>
      <c r="C17" s="4"/>
      <c r="D17" s="4"/>
      <c r="E17" s="4"/>
      <c r="F17" s="4"/>
      <c r="G17" s="4"/>
      <c r="H17" s="4"/>
      <c r="I17" s="4"/>
      <c r="J17" s="4"/>
    </row>
    <row r="18" spans="1:10" ht="12" customHeight="1" x14ac:dyDescent="0.2">
      <c r="A18" s="123" t="s">
        <v>162</v>
      </c>
      <c r="B18" s="4" t="s">
        <v>163</v>
      </c>
      <c r="C18" s="4"/>
      <c r="D18" s="4"/>
      <c r="E18" s="4"/>
      <c r="F18" s="4"/>
      <c r="G18" s="4"/>
      <c r="H18" s="4"/>
      <c r="I18" s="4"/>
      <c r="J18" s="4"/>
    </row>
    <row r="19" spans="1:10" ht="12" customHeight="1" x14ac:dyDescent="0.2">
      <c r="A19" s="123" t="s">
        <v>164</v>
      </c>
      <c r="B19" s="4" t="s">
        <v>165</v>
      </c>
      <c r="C19" s="4"/>
      <c r="D19" s="4"/>
      <c r="E19" s="4"/>
      <c r="F19" s="4"/>
      <c r="G19" s="4"/>
      <c r="H19" s="4"/>
      <c r="I19" s="4"/>
      <c r="J19" s="4"/>
    </row>
    <row r="20" spans="1:10" ht="12" customHeight="1" x14ac:dyDescent="0.2">
      <c r="A20" s="123" t="s">
        <v>166</v>
      </c>
      <c r="B20" s="4" t="s">
        <v>167</v>
      </c>
      <c r="C20" s="4"/>
      <c r="D20" s="4"/>
      <c r="E20" s="4"/>
      <c r="F20" s="4"/>
      <c r="G20" s="4"/>
      <c r="H20" s="4"/>
      <c r="I20" s="4"/>
      <c r="J20" s="4"/>
    </row>
    <row r="21" spans="1:10" ht="12" customHeight="1" x14ac:dyDescent="0.2">
      <c r="A21" s="123" t="s">
        <v>168</v>
      </c>
      <c r="B21" s="4" t="s">
        <v>169</v>
      </c>
      <c r="C21" s="4"/>
      <c r="D21" s="4"/>
      <c r="E21" s="4"/>
      <c r="F21" s="4"/>
      <c r="G21" s="4"/>
      <c r="H21" s="4"/>
      <c r="I21" s="4"/>
      <c r="J21" s="4"/>
    </row>
    <row r="22" spans="1:10" ht="12" customHeight="1" x14ac:dyDescent="0.2">
      <c r="A22" s="123" t="s">
        <v>170</v>
      </c>
      <c r="B22" s="4" t="s">
        <v>171</v>
      </c>
      <c r="C22" s="4"/>
      <c r="D22" s="4"/>
      <c r="E22" s="4"/>
      <c r="F22" s="4"/>
      <c r="G22" s="4"/>
      <c r="H22" s="4"/>
      <c r="I22" s="4"/>
      <c r="J22" s="4"/>
    </row>
    <row r="23" spans="1:10" ht="12" customHeight="1" x14ac:dyDescent="0.2">
      <c r="A23" s="123" t="s">
        <v>172</v>
      </c>
      <c r="B23" s="4" t="s">
        <v>171</v>
      </c>
      <c r="C23" s="4"/>
      <c r="D23" s="4"/>
      <c r="E23" s="4"/>
      <c r="F23" s="4"/>
      <c r="G23" s="4"/>
      <c r="H23" s="4"/>
      <c r="I23" s="4"/>
      <c r="J23" s="4"/>
    </row>
    <row r="24" spans="1:10" ht="12" customHeight="1" x14ac:dyDescent="0.2">
      <c r="A24" s="123" t="s">
        <v>173</v>
      </c>
      <c r="B24" s="4" t="s">
        <v>174</v>
      </c>
      <c r="C24" s="4"/>
      <c r="D24" s="4"/>
      <c r="E24" s="4"/>
      <c r="F24" s="4"/>
      <c r="G24" s="4"/>
      <c r="H24" s="4"/>
      <c r="I24" s="4"/>
      <c r="J24" s="4"/>
    </row>
    <row r="25" spans="1:10" ht="12" customHeight="1" x14ac:dyDescent="0.2">
      <c r="A25" s="123" t="s">
        <v>175</v>
      </c>
      <c r="B25" s="4" t="s">
        <v>176</v>
      </c>
      <c r="C25" s="4"/>
      <c r="D25" s="4"/>
      <c r="E25" s="4"/>
      <c r="F25" s="4"/>
      <c r="G25" s="4"/>
      <c r="H25" s="4"/>
      <c r="I25" s="4"/>
      <c r="J25" s="4"/>
    </row>
    <row r="26" spans="1:10" ht="12" customHeight="1" x14ac:dyDescent="0.2">
      <c r="A26" s="123" t="s">
        <v>177</v>
      </c>
      <c r="B26" s="4" t="s">
        <v>178</v>
      </c>
      <c r="C26" s="4"/>
      <c r="D26" s="4"/>
      <c r="E26" s="4"/>
      <c r="F26" s="4"/>
      <c r="G26" s="4"/>
      <c r="H26" s="4"/>
      <c r="I26" s="4"/>
      <c r="J26" s="4"/>
    </row>
    <row r="27" spans="1:10" ht="12" customHeight="1" x14ac:dyDescent="0.2">
      <c r="A27" s="123" t="s">
        <v>179</v>
      </c>
      <c r="B27" s="4" t="s">
        <v>180</v>
      </c>
      <c r="C27" s="4"/>
      <c r="D27" s="4"/>
      <c r="E27" s="4"/>
      <c r="F27" s="4"/>
      <c r="G27" s="4"/>
      <c r="H27" s="4"/>
      <c r="I27" s="4"/>
      <c r="J27" s="4"/>
    </row>
    <row r="28" spans="1:10" ht="12" customHeight="1" x14ac:dyDescent="0.2">
      <c r="A28" s="123" t="s">
        <v>181</v>
      </c>
      <c r="B28" s="4" t="s">
        <v>182</v>
      </c>
      <c r="C28" s="4"/>
      <c r="D28" s="4"/>
      <c r="E28" s="4"/>
      <c r="F28" s="4"/>
      <c r="G28" s="4"/>
      <c r="H28" s="4"/>
      <c r="I28" s="4"/>
      <c r="J28" s="4"/>
    </row>
    <row r="29" spans="1:10" ht="12" customHeight="1" x14ac:dyDescent="0.2">
      <c r="A29" s="123" t="s">
        <v>183</v>
      </c>
      <c r="B29" s="4" t="s">
        <v>184</v>
      </c>
      <c r="C29" s="4"/>
      <c r="D29" s="4"/>
      <c r="E29" s="4"/>
      <c r="F29" s="4"/>
      <c r="G29" s="4"/>
      <c r="H29" s="4"/>
      <c r="I29" s="4"/>
      <c r="J29" s="4"/>
    </row>
    <row r="30" spans="1:10" ht="12" customHeight="1" x14ac:dyDescent="0.2">
      <c r="A30" s="123" t="s">
        <v>185</v>
      </c>
      <c r="B30" s="4" t="s">
        <v>186</v>
      </c>
      <c r="C30" s="4"/>
      <c r="D30" s="4"/>
      <c r="E30" s="4"/>
      <c r="F30" s="4"/>
      <c r="G30" s="4"/>
      <c r="H30" s="4"/>
      <c r="I30" s="4"/>
      <c r="J30" s="4"/>
    </row>
    <row r="31" spans="1:10" ht="12" customHeight="1" x14ac:dyDescent="0.2">
      <c r="A31" s="123" t="s">
        <v>187</v>
      </c>
      <c r="B31" s="4" t="s">
        <v>188</v>
      </c>
      <c r="C31" s="4"/>
      <c r="D31" s="4"/>
      <c r="E31" s="4"/>
      <c r="F31" s="4"/>
      <c r="G31" s="4"/>
      <c r="H31" s="4"/>
      <c r="I31" s="4"/>
      <c r="J31" s="4"/>
    </row>
    <row r="32" spans="1:10" ht="12" customHeight="1" x14ac:dyDescent="0.2">
      <c r="A32" s="123" t="s">
        <v>189</v>
      </c>
      <c r="B32" s="4" t="s">
        <v>190</v>
      </c>
      <c r="C32" s="4"/>
      <c r="D32" s="4"/>
      <c r="E32" s="4"/>
      <c r="F32" s="4"/>
      <c r="G32" s="4"/>
      <c r="H32" s="4"/>
      <c r="I32" s="4"/>
      <c r="J32" s="4"/>
    </row>
    <row r="33" spans="1:10" ht="12" customHeight="1" x14ac:dyDescent="0.2">
      <c r="A33" s="123" t="s">
        <v>191</v>
      </c>
      <c r="B33" s="4" t="s">
        <v>192</v>
      </c>
      <c r="C33" s="4"/>
      <c r="D33" s="4"/>
      <c r="E33" s="4"/>
      <c r="F33" s="4"/>
      <c r="G33" s="4"/>
      <c r="H33" s="4"/>
      <c r="I33" s="4"/>
      <c r="J33" s="4"/>
    </row>
    <row r="34" spans="1:10" ht="12" customHeight="1" x14ac:dyDescent="0.2">
      <c r="A34" s="123" t="s">
        <v>193</v>
      </c>
      <c r="B34" s="4" t="s">
        <v>194</v>
      </c>
      <c r="C34" s="4"/>
      <c r="D34" s="4"/>
      <c r="E34" s="4"/>
      <c r="F34" s="4"/>
      <c r="G34" s="4"/>
      <c r="H34" s="4"/>
      <c r="I34" s="4"/>
      <c r="J34" s="4"/>
    </row>
    <row r="35" spans="1:10" ht="12" customHeight="1" x14ac:dyDescent="0.2">
      <c r="A35" s="123" t="s">
        <v>195</v>
      </c>
      <c r="B35" s="4" t="s">
        <v>192</v>
      </c>
      <c r="C35" s="4"/>
      <c r="D35" s="4"/>
      <c r="E35" s="4"/>
      <c r="F35" s="4"/>
      <c r="G35" s="4"/>
      <c r="H35" s="4"/>
      <c r="I35" s="4"/>
      <c r="J35" s="4"/>
    </row>
    <row r="36" spans="1:10" ht="12" customHeight="1" x14ac:dyDescent="0.2">
      <c r="A36" s="123" t="s">
        <v>196</v>
      </c>
      <c r="B36" s="4" t="s">
        <v>197</v>
      </c>
      <c r="C36" s="4"/>
      <c r="D36" s="4"/>
      <c r="E36" s="4"/>
      <c r="F36" s="4"/>
      <c r="G36" s="4"/>
      <c r="H36" s="4"/>
      <c r="I36" s="4"/>
      <c r="J36" s="4"/>
    </row>
    <row r="37" spans="1:10" ht="12" customHeight="1" x14ac:dyDescent="0.2">
      <c r="A37" s="6" t="s">
        <v>198</v>
      </c>
      <c r="B37" s="4" t="s">
        <v>194</v>
      </c>
      <c r="C37" s="4"/>
      <c r="D37" s="4"/>
      <c r="E37" s="4"/>
      <c r="F37" s="4"/>
      <c r="G37" s="4"/>
      <c r="H37" s="4"/>
      <c r="I37" s="4"/>
      <c r="J37" s="4"/>
    </row>
    <row r="38" spans="1:10" ht="12" customHeight="1" thickBot="1" x14ac:dyDescent="0.25">
      <c r="A38" s="124" t="s">
        <v>199</v>
      </c>
      <c r="B38" s="14" t="s">
        <v>200</v>
      </c>
      <c r="C38" s="14"/>
      <c r="D38" s="14"/>
      <c r="E38" s="14"/>
      <c r="F38" s="14"/>
      <c r="G38" s="14"/>
      <c r="H38" s="14"/>
      <c r="I38" s="14"/>
      <c r="J38" s="4"/>
    </row>
    <row r="39" spans="1:10" ht="12" customHeight="1" thickBo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2" customHeight="1" x14ac:dyDescent="0.25">
      <c r="A40" s="125" t="s">
        <v>201</v>
      </c>
      <c r="B40" s="126"/>
      <c r="C40" s="126"/>
      <c r="D40" s="126"/>
      <c r="E40" s="126"/>
      <c r="F40" s="126"/>
      <c r="G40" s="126"/>
      <c r="H40" s="126"/>
      <c r="I40" s="127"/>
      <c r="J40" s="4"/>
    </row>
    <row r="41" spans="1:10" ht="12" customHeight="1" x14ac:dyDescent="0.2">
      <c r="A41" s="128" t="s">
        <v>691</v>
      </c>
      <c r="B41" s="129"/>
      <c r="C41" s="129"/>
      <c r="D41" s="129"/>
      <c r="E41" s="129"/>
      <c r="F41" s="129"/>
      <c r="G41" s="129"/>
      <c r="H41" s="129"/>
      <c r="I41" s="130"/>
      <c r="J41" s="4"/>
    </row>
    <row r="42" spans="1:10" ht="12" customHeight="1" x14ac:dyDescent="0.2">
      <c r="A42" s="131" t="s">
        <v>697</v>
      </c>
      <c r="B42" s="129"/>
      <c r="C42" s="129"/>
      <c r="D42" s="129"/>
      <c r="E42" s="129"/>
      <c r="F42" s="129"/>
      <c r="G42" s="129"/>
      <c r="H42" s="129"/>
      <c r="I42" s="130"/>
      <c r="J42" s="4"/>
    </row>
    <row r="43" spans="1:10" ht="12" customHeight="1" x14ac:dyDescent="0.2">
      <c r="A43" s="132" t="s">
        <v>202</v>
      </c>
      <c r="B43" s="129"/>
      <c r="C43" s="129"/>
      <c r="D43" s="129"/>
      <c r="E43" s="129"/>
      <c r="F43" s="129"/>
      <c r="G43" s="129"/>
      <c r="H43" s="129"/>
      <c r="I43" s="130"/>
      <c r="J43" s="4"/>
    </row>
    <row r="44" spans="1:10" ht="12" customHeight="1" x14ac:dyDescent="0.2">
      <c r="A44" s="132" t="s">
        <v>203</v>
      </c>
      <c r="B44" s="129"/>
      <c r="C44" s="129"/>
      <c r="D44" s="129"/>
      <c r="E44" s="129"/>
      <c r="F44" s="129"/>
      <c r="G44" s="129"/>
      <c r="H44" s="129"/>
      <c r="I44" s="130"/>
      <c r="J44" s="4"/>
    </row>
    <row r="45" spans="1:10" ht="12" customHeight="1" x14ac:dyDescent="0.2">
      <c r="A45" s="132"/>
      <c r="B45" s="129"/>
      <c r="C45" s="129"/>
      <c r="D45" s="133" t="s">
        <v>698</v>
      </c>
      <c r="E45" s="134"/>
      <c r="F45" s="134"/>
      <c r="G45" s="135" t="s">
        <v>206</v>
      </c>
      <c r="H45" s="129"/>
      <c r="I45" s="130"/>
      <c r="J45" s="4"/>
    </row>
    <row r="46" spans="1:10" ht="12" customHeight="1" x14ac:dyDescent="0.2">
      <c r="A46" s="136" t="s">
        <v>207</v>
      </c>
      <c r="B46" s="129"/>
      <c r="C46" s="129"/>
      <c r="D46" s="137" t="s">
        <v>208</v>
      </c>
      <c r="E46" s="137" t="s">
        <v>209</v>
      </c>
      <c r="F46" s="137" t="s">
        <v>210</v>
      </c>
      <c r="G46" s="135" t="s">
        <v>211</v>
      </c>
      <c r="H46" s="135" t="s">
        <v>204</v>
      </c>
      <c r="I46" s="138" t="s">
        <v>205</v>
      </c>
    </row>
    <row r="47" spans="1:10" ht="12" customHeight="1" x14ac:dyDescent="0.2">
      <c r="A47" s="132" t="s">
        <v>212</v>
      </c>
      <c r="B47" s="129"/>
      <c r="C47" s="129" t="s">
        <v>213</v>
      </c>
      <c r="D47" s="139">
        <v>400.0625</v>
      </c>
      <c r="E47" s="139">
        <v>1187.7375000000002</v>
      </c>
      <c r="F47" s="139">
        <v>2995.0125000000003</v>
      </c>
      <c r="G47" s="140">
        <f>SUM(D47)+(D47*0.086)+(D47*0.15)</f>
        <v>494.47724999999997</v>
      </c>
      <c r="H47" s="140">
        <f>SUM(E47)+(E47*0.086)+(E47*0.15)</f>
        <v>1468.0435500000001</v>
      </c>
      <c r="I47" s="141">
        <f>SUM(F47)+(F47*0.086)+(F47*0.15)</f>
        <v>3701.83545</v>
      </c>
    </row>
    <row r="48" spans="1:10" ht="12" customHeight="1" x14ac:dyDescent="0.2">
      <c r="A48" s="132" t="s">
        <v>214</v>
      </c>
      <c r="B48" s="129"/>
      <c r="C48" s="129" t="s">
        <v>215</v>
      </c>
      <c r="D48" s="139">
        <v>1358.2624999999998</v>
      </c>
      <c r="E48" s="139">
        <v>3790.4250000000002</v>
      </c>
      <c r="F48" s="139">
        <v>9988.2749999999996</v>
      </c>
      <c r="G48" s="140">
        <f t="shared" ref="G48:G59" si="0">SUM(D48)+(D48*0.086)+(D48*0.15)</f>
        <v>1678.8124499999997</v>
      </c>
      <c r="H48" s="140">
        <f t="shared" ref="H48:H59" si="1">SUM(E48)+(E48*0.086)+(E48*0.15)</f>
        <v>4684.9653000000008</v>
      </c>
      <c r="I48" s="141">
        <f t="shared" ref="I48:I59" si="2">SUM(F48)+(F48*0.086)+(F48*0.15)</f>
        <v>12345.507899999999</v>
      </c>
      <c r="J48" s="4"/>
    </row>
    <row r="49" spans="1:10" ht="12" customHeight="1" x14ac:dyDescent="0.2">
      <c r="A49" s="132" t="s">
        <v>216</v>
      </c>
      <c r="B49" s="129"/>
      <c r="C49" s="129" t="s">
        <v>217</v>
      </c>
      <c r="D49" s="139">
        <v>650.9375</v>
      </c>
      <c r="E49" s="139">
        <v>1859.1374999999998</v>
      </c>
      <c r="F49" s="139">
        <v>4616.3249999999998</v>
      </c>
      <c r="G49" s="140">
        <f t="shared" si="0"/>
        <v>804.55875000000003</v>
      </c>
      <c r="H49" s="140">
        <f t="shared" si="1"/>
        <v>2297.8939499999997</v>
      </c>
      <c r="I49" s="141">
        <f t="shared" si="2"/>
        <v>5705.7776999999996</v>
      </c>
      <c r="J49" s="4"/>
    </row>
    <row r="50" spans="1:10" ht="12" customHeight="1" x14ac:dyDescent="0.2">
      <c r="A50" s="132" t="s">
        <v>218</v>
      </c>
      <c r="B50" s="129"/>
      <c r="C50" s="129" t="s">
        <v>219</v>
      </c>
      <c r="D50" s="139">
        <v>1235.6375</v>
      </c>
      <c r="E50" s="139">
        <v>3627.0875000000001</v>
      </c>
      <c r="F50" s="139">
        <v>9033.0125000000007</v>
      </c>
      <c r="G50" s="140">
        <f t="shared" si="0"/>
        <v>1527.2479499999999</v>
      </c>
      <c r="H50" s="140">
        <f t="shared" si="1"/>
        <v>4483.0801499999998</v>
      </c>
      <c r="I50" s="141">
        <f t="shared" si="2"/>
        <v>11164.803450000001</v>
      </c>
      <c r="J50" s="4"/>
    </row>
    <row r="51" spans="1:10" ht="12" customHeight="1" x14ac:dyDescent="0.2">
      <c r="A51" s="132" t="s">
        <v>220</v>
      </c>
      <c r="B51" s="129"/>
      <c r="C51" s="129" t="s">
        <v>221</v>
      </c>
      <c r="D51" s="139">
        <v>1381.7250000000001</v>
      </c>
      <c r="E51" s="139">
        <v>4252</v>
      </c>
      <c r="F51" s="139">
        <v>12661.0625</v>
      </c>
      <c r="G51" s="140">
        <f t="shared" si="0"/>
        <v>1707.8121000000001</v>
      </c>
      <c r="H51" s="140">
        <f t="shared" si="1"/>
        <v>5255.4719999999998</v>
      </c>
      <c r="I51" s="141">
        <f t="shared" si="2"/>
        <v>15649.073249999999</v>
      </c>
      <c r="J51" s="4"/>
    </row>
    <row r="52" spans="1:10" ht="12" customHeight="1" x14ac:dyDescent="0.2">
      <c r="A52" s="132" t="s">
        <v>222</v>
      </c>
      <c r="B52" s="129"/>
      <c r="C52" s="129" t="s">
        <v>223</v>
      </c>
      <c r="D52" s="139">
        <v>418.78749999999997</v>
      </c>
      <c r="E52" s="139">
        <v>3626.5625</v>
      </c>
      <c r="F52" s="139">
        <v>10979.862499999999</v>
      </c>
      <c r="G52" s="140">
        <f t="shared" si="0"/>
        <v>517.62134999999989</v>
      </c>
      <c r="H52" s="140">
        <f t="shared" si="1"/>
        <v>4482.4312499999996</v>
      </c>
      <c r="I52" s="141">
        <f t="shared" si="2"/>
        <v>13571.110049999999</v>
      </c>
      <c r="J52" s="4"/>
    </row>
    <row r="53" spans="1:10" ht="12" customHeight="1" x14ac:dyDescent="0.2">
      <c r="A53" s="132" t="s">
        <v>224</v>
      </c>
      <c r="B53" s="129"/>
      <c r="C53" s="129" t="s">
        <v>225</v>
      </c>
      <c r="D53" s="139">
        <v>3412.3125</v>
      </c>
      <c r="E53" s="139">
        <v>9988.4375</v>
      </c>
      <c r="F53" s="139">
        <v>29660.237499999999</v>
      </c>
      <c r="G53" s="140">
        <f t="shared" si="0"/>
        <v>4217.6182499999995</v>
      </c>
      <c r="H53" s="140">
        <f t="shared" si="1"/>
        <v>12345.70875</v>
      </c>
      <c r="I53" s="141">
        <f t="shared" si="2"/>
        <v>36660.053549999997</v>
      </c>
      <c r="J53" s="4"/>
    </row>
    <row r="54" spans="1:10" ht="12" customHeight="1" x14ac:dyDescent="0.2">
      <c r="A54" s="132" t="s">
        <v>226</v>
      </c>
      <c r="B54" s="129"/>
      <c r="C54" s="129" t="s">
        <v>227</v>
      </c>
      <c r="D54" s="139">
        <v>703.6</v>
      </c>
      <c r="E54" s="139">
        <v>1785.0250000000001</v>
      </c>
      <c r="F54" s="139">
        <v>4041.7124999999996</v>
      </c>
      <c r="G54" s="140">
        <f t="shared" si="0"/>
        <v>869.64959999999996</v>
      </c>
      <c r="H54" s="140">
        <f t="shared" si="1"/>
        <v>2206.2909</v>
      </c>
      <c r="I54" s="141">
        <f t="shared" si="2"/>
        <v>4995.5566499999995</v>
      </c>
      <c r="J54" s="4"/>
    </row>
    <row r="55" spans="1:10" ht="12" customHeight="1" x14ac:dyDescent="0.2">
      <c r="A55" s="132" t="s">
        <v>228</v>
      </c>
      <c r="B55" s="129"/>
      <c r="C55" s="129" t="s">
        <v>229</v>
      </c>
      <c r="D55" s="139">
        <v>628.54999999999995</v>
      </c>
      <c r="E55" s="139">
        <v>1706.575</v>
      </c>
      <c r="F55" s="139">
        <v>4846.8875000000007</v>
      </c>
      <c r="G55" s="140">
        <f t="shared" si="0"/>
        <v>776.88779999999997</v>
      </c>
      <c r="H55" s="140">
        <f t="shared" si="1"/>
        <v>2109.3267000000001</v>
      </c>
      <c r="I55" s="141">
        <f t="shared" si="2"/>
        <v>5990.752950000001</v>
      </c>
      <c r="J55" s="4"/>
    </row>
    <row r="56" spans="1:10" ht="12" customHeight="1" x14ac:dyDescent="0.2">
      <c r="A56" s="131" t="s">
        <v>258</v>
      </c>
      <c r="B56" s="129"/>
      <c r="C56" s="142" t="s">
        <v>700</v>
      </c>
      <c r="D56" s="139">
        <v>918.75</v>
      </c>
      <c r="E56" s="139">
        <v>3425</v>
      </c>
      <c r="F56" s="139">
        <v>8937.5</v>
      </c>
      <c r="G56" s="140">
        <f t="shared" si="0"/>
        <v>1135.575</v>
      </c>
      <c r="H56" s="140">
        <f t="shared" si="1"/>
        <v>4233.3</v>
      </c>
      <c r="I56" s="141">
        <f t="shared" si="2"/>
        <v>11046.75</v>
      </c>
      <c r="J56" s="4"/>
    </row>
    <row r="57" spans="1:10" ht="12" customHeight="1" x14ac:dyDescent="0.2">
      <c r="A57" s="132" t="s">
        <v>232</v>
      </c>
      <c r="B57" s="129"/>
      <c r="C57" s="142" t="s">
        <v>699</v>
      </c>
      <c r="D57" s="139">
        <v>1656.75</v>
      </c>
      <c r="E57" s="139">
        <v>685.23750000000007</v>
      </c>
      <c r="F57" s="139">
        <v>234.5</v>
      </c>
      <c r="G57" s="140">
        <f t="shared" si="0"/>
        <v>2047.7429999999999</v>
      </c>
      <c r="H57" s="140">
        <f t="shared" si="1"/>
        <v>846.95355000000006</v>
      </c>
      <c r="I57" s="141">
        <f t="shared" si="2"/>
        <v>289.84199999999998</v>
      </c>
      <c r="J57" s="4"/>
    </row>
    <row r="58" spans="1:10" ht="12" customHeight="1" x14ac:dyDescent="0.2">
      <c r="A58" s="132" t="s">
        <v>233</v>
      </c>
      <c r="B58" s="129"/>
      <c r="C58" s="129" t="s">
        <v>234</v>
      </c>
      <c r="D58" s="139">
        <v>1354.1875</v>
      </c>
      <c r="E58" s="139">
        <v>4739.5375000000004</v>
      </c>
      <c r="F58" s="139">
        <v>13541.824999999999</v>
      </c>
      <c r="G58" s="140">
        <f t="shared" si="0"/>
        <v>1673.77575</v>
      </c>
      <c r="H58" s="140">
        <f t="shared" si="1"/>
        <v>5858.0683500000005</v>
      </c>
      <c r="I58" s="141">
        <f t="shared" si="2"/>
        <v>16737.695699999997</v>
      </c>
      <c r="J58" s="4"/>
    </row>
    <row r="59" spans="1:10" ht="12" customHeight="1" thickBot="1" x14ac:dyDescent="0.25">
      <c r="A59" s="143" t="s">
        <v>235</v>
      </c>
      <c r="B59" s="144"/>
      <c r="C59" s="144" t="s">
        <v>236</v>
      </c>
      <c r="D59" s="145">
        <v>633.51250000000005</v>
      </c>
      <c r="E59" s="145">
        <v>1527.1624999999999</v>
      </c>
      <c r="F59" s="145">
        <v>3374.7874999999999</v>
      </c>
      <c r="G59" s="140">
        <f t="shared" si="0"/>
        <v>783.02145000000007</v>
      </c>
      <c r="H59" s="140">
        <f t="shared" si="1"/>
        <v>1887.5728499999998</v>
      </c>
      <c r="I59" s="141">
        <f t="shared" si="2"/>
        <v>4171.2373500000003</v>
      </c>
      <c r="J59" s="4"/>
    </row>
    <row r="60" spans="1:10" ht="12" customHeight="1" thickBo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ht="12" customHeight="1" x14ac:dyDescent="0.25">
      <c r="A61" s="13" t="s">
        <v>237</v>
      </c>
      <c r="B61" s="121"/>
      <c r="C61" s="121"/>
      <c r="D61" s="121"/>
      <c r="E61" s="121"/>
      <c r="F61" s="121"/>
      <c r="G61" s="121"/>
      <c r="H61" s="121"/>
      <c r="I61" s="146"/>
      <c r="J61" s="4"/>
    </row>
    <row r="62" spans="1:10" ht="12" customHeight="1" thickBot="1" x14ac:dyDescent="0.25">
      <c r="A62" s="147" t="s">
        <v>238</v>
      </c>
      <c r="B62" s="4"/>
      <c r="C62" s="148" t="s">
        <v>239</v>
      </c>
      <c r="D62" s="148" t="s">
        <v>240</v>
      </c>
      <c r="E62" s="148" t="s">
        <v>241</v>
      </c>
      <c r="F62" s="148" t="s">
        <v>242</v>
      </c>
      <c r="G62" s="148" t="s">
        <v>243</v>
      </c>
      <c r="H62" s="148" t="s">
        <v>244</v>
      </c>
      <c r="I62" s="149" t="s">
        <v>245</v>
      </c>
      <c r="J62" s="4"/>
    </row>
    <row r="63" spans="1:10" ht="12" customHeight="1" thickBot="1" x14ac:dyDescent="0.25">
      <c r="A63" s="15" t="s">
        <v>212</v>
      </c>
      <c r="B63" s="4"/>
      <c r="C63" s="4" t="s">
        <v>246</v>
      </c>
      <c r="D63" s="150">
        <v>2.4</v>
      </c>
      <c r="E63" s="151">
        <v>4.9589999999999996</v>
      </c>
      <c r="F63" s="152">
        <f t="shared" ref="F63:F75" si="3">D63*E63</f>
        <v>11.901599999999998</v>
      </c>
      <c r="G63" s="153">
        <f t="shared" ref="G63:G75" si="4">F63*0.1</f>
        <v>1.1901599999999999</v>
      </c>
      <c r="H63" s="154">
        <f t="shared" ref="H63:H75" si="5">F63*0.165</f>
        <v>1.9637639999999998</v>
      </c>
      <c r="I63" s="155">
        <f t="shared" ref="I63:I75" si="6">F63+G63+H63</f>
        <v>15.055523999999998</v>
      </c>
      <c r="J63" s="4"/>
    </row>
    <row r="64" spans="1:10" ht="12" customHeight="1" x14ac:dyDescent="0.2">
      <c r="A64" s="15" t="s">
        <v>247</v>
      </c>
      <c r="B64" s="4"/>
      <c r="C64" s="4" t="s">
        <v>248</v>
      </c>
      <c r="D64" s="156">
        <v>2.6</v>
      </c>
      <c r="E64" s="157">
        <f t="shared" ref="E64:E70" si="7">E$63</f>
        <v>4.9589999999999996</v>
      </c>
      <c r="F64" s="158">
        <f t="shared" si="3"/>
        <v>12.8934</v>
      </c>
      <c r="G64" s="158">
        <f t="shared" si="4"/>
        <v>1.2893400000000002</v>
      </c>
      <c r="H64" s="159">
        <f t="shared" si="5"/>
        <v>2.1274109999999999</v>
      </c>
      <c r="I64" s="155">
        <f t="shared" si="6"/>
        <v>16.310150999999998</v>
      </c>
      <c r="J64" s="4"/>
    </row>
    <row r="65" spans="1:10" ht="12" customHeight="1" x14ac:dyDescent="0.2">
      <c r="A65" s="15" t="s">
        <v>216</v>
      </c>
      <c r="B65" s="4"/>
      <c r="C65" s="4" t="s">
        <v>249</v>
      </c>
      <c r="D65" s="156">
        <v>3.3</v>
      </c>
      <c r="E65" s="160">
        <f t="shared" si="7"/>
        <v>4.9589999999999996</v>
      </c>
      <c r="F65" s="158">
        <f t="shared" si="3"/>
        <v>16.364699999999999</v>
      </c>
      <c r="G65" s="158">
        <f t="shared" si="4"/>
        <v>1.6364700000000001</v>
      </c>
      <c r="H65" s="159">
        <f t="shared" si="5"/>
        <v>2.7001754999999998</v>
      </c>
      <c r="I65" s="155">
        <f t="shared" si="6"/>
        <v>20.701345499999999</v>
      </c>
      <c r="J65" s="4"/>
    </row>
    <row r="66" spans="1:10" ht="12" customHeight="1" x14ac:dyDescent="0.2">
      <c r="A66" s="15" t="s">
        <v>218</v>
      </c>
      <c r="B66" s="4"/>
      <c r="C66" s="4" t="s">
        <v>250</v>
      </c>
      <c r="D66" s="156">
        <v>2</v>
      </c>
      <c r="E66" s="160">
        <f t="shared" si="7"/>
        <v>4.9589999999999996</v>
      </c>
      <c r="F66" s="158">
        <f t="shared" si="3"/>
        <v>9.9179999999999993</v>
      </c>
      <c r="G66" s="158">
        <f t="shared" si="4"/>
        <v>0.99180000000000001</v>
      </c>
      <c r="H66" s="159">
        <f t="shared" si="5"/>
        <v>1.6364699999999999</v>
      </c>
      <c r="I66" s="155">
        <f t="shared" si="6"/>
        <v>12.546269999999998</v>
      </c>
      <c r="J66" s="4"/>
    </row>
    <row r="67" spans="1:10" ht="12" customHeight="1" x14ac:dyDescent="0.2">
      <c r="A67" s="15" t="s">
        <v>220</v>
      </c>
      <c r="B67" s="4"/>
      <c r="C67" s="4" t="s">
        <v>251</v>
      </c>
      <c r="D67" s="156">
        <v>4.2</v>
      </c>
      <c r="E67" s="160">
        <f t="shared" si="7"/>
        <v>4.9589999999999996</v>
      </c>
      <c r="F67" s="158">
        <f t="shared" si="3"/>
        <v>20.8278</v>
      </c>
      <c r="G67" s="158">
        <f t="shared" si="4"/>
        <v>2.0827800000000001</v>
      </c>
      <c r="H67" s="159">
        <f t="shared" si="5"/>
        <v>3.4365870000000003</v>
      </c>
      <c r="I67" s="155">
        <f t="shared" si="6"/>
        <v>26.347166999999999</v>
      </c>
      <c r="J67" s="4"/>
    </row>
    <row r="68" spans="1:10" ht="12" customHeight="1" x14ac:dyDescent="0.2">
      <c r="A68" s="15" t="s">
        <v>222</v>
      </c>
      <c r="B68" s="4"/>
      <c r="C68" s="4" t="s">
        <v>252</v>
      </c>
      <c r="D68" s="156">
        <v>7</v>
      </c>
      <c r="E68" s="160">
        <f t="shared" si="7"/>
        <v>4.9589999999999996</v>
      </c>
      <c r="F68" s="158">
        <f t="shared" si="3"/>
        <v>34.712999999999994</v>
      </c>
      <c r="G68" s="158">
        <f t="shared" si="4"/>
        <v>3.4712999999999994</v>
      </c>
      <c r="H68" s="159">
        <f t="shared" si="5"/>
        <v>5.727644999999999</v>
      </c>
      <c r="I68" s="155">
        <f t="shared" si="6"/>
        <v>43.911944999999989</v>
      </c>
      <c r="J68" s="4"/>
    </row>
    <row r="69" spans="1:10" ht="12" customHeight="1" x14ac:dyDescent="0.2">
      <c r="A69" s="15" t="s">
        <v>224</v>
      </c>
      <c r="B69" s="4"/>
      <c r="C69" s="4" t="s">
        <v>253</v>
      </c>
      <c r="D69" s="156">
        <v>9.5</v>
      </c>
      <c r="E69" s="160">
        <f t="shared" si="7"/>
        <v>4.9589999999999996</v>
      </c>
      <c r="F69" s="158">
        <f t="shared" si="3"/>
        <v>47.110499999999995</v>
      </c>
      <c r="G69" s="158">
        <f t="shared" si="4"/>
        <v>4.7110499999999993</v>
      </c>
      <c r="H69" s="159">
        <f t="shared" si="5"/>
        <v>7.7732324999999998</v>
      </c>
      <c r="I69" s="155">
        <f t="shared" si="6"/>
        <v>59.594782499999994</v>
      </c>
      <c r="J69" s="4"/>
    </row>
    <row r="70" spans="1:10" ht="12" customHeight="1" x14ac:dyDescent="0.2">
      <c r="A70" s="15" t="s">
        <v>254</v>
      </c>
      <c r="B70" s="4"/>
      <c r="C70" s="4" t="s">
        <v>255</v>
      </c>
      <c r="D70" s="156">
        <v>2.6</v>
      </c>
      <c r="E70" s="160">
        <f t="shared" si="7"/>
        <v>4.9589999999999996</v>
      </c>
      <c r="F70" s="158">
        <f t="shared" si="3"/>
        <v>12.8934</v>
      </c>
      <c r="G70" s="158">
        <f t="shared" si="4"/>
        <v>1.2893400000000002</v>
      </c>
      <c r="H70" s="159">
        <f t="shared" si="5"/>
        <v>2.1274109999999999</v>
      </c>
      <c r="I70" s="155">
        <f t="shared" si="6"/>
        <v>16.310150999999998</v>
      </c>
      <c r="J70" s="4"/>
    </row>
    <row r="71" spans="1:10" ht="12" customHeight="1" x14ac:dyDescent="0.2">
      <c r="A71" s="15" t="s">
        <v>256</v>
      </c>
      <c r="B71" s="4"/>
      <c r="C71" s="4" t="s">
        <v>257</v>
      </c>
      <c r="D71" s="156">
        <v>2</v>
      </c>
      <c r="E71" s="160">
        <f>E$63</f>
        <v>4.9589999999999996</v>
      </c>
      <c r="F71" s="158">
        <f t="shared" si="3"/>
        <v>9.9179999999999993</v>
      </c>
      <c r="G71" s="158">
        <f t="shared" si="4"/>
        <v>0.99180000000000001</v>
      </c>
      <c r="H71" s="159">
        <f t="shared" si="5"/>
        <v>1.6364699999999999</v>
      </c>
      <c r="I71" s="155">
        <f t="shared" si="6"/>
        <v>12.546269999999998</v>
      </c>
      <c r="J71" s="4"/>
    </row>
    <row r="72" spans="1:10" ht="12" customHeight="1" x14ac:dyDescent="0.2">
      <c r="A72" s="15" t="s">
        <v>258</v>
      </c>
      <c r="B72" s="4"/>
      <c r="C72" s="4" t="s">
        <v>259</v>
      </c>
      <c r="D72" s="156">
        <v>6</v>
      </c>
      <c r="E72" s="160">
        <f>E$63</f>
        <v>4.9589999999999996</v>
      </c>
      <c r="F72" s="158">
        <f t="shared" si="3"/>
        <v>29.753999999999998</v>
      </c>
      <c r="G72" s="158">
        <f t="shared" si="4"/>
        <v>2.9754</v>
      </c>
      <c r="H72" s="159">
        <f t="shared" si="5"/>
        <v>4.9094100000000003</v>
      </c>
      <c r="I72" s="155">
        <f t="shared" si="6"/>
        <v>37.638809999999999</v>
      </c>
      <c r="J72" s="4"/>
    </row>
    <row r="73" spans="1:10" ht="12" customHeight="1" x14ac:dyDescent="0.2">
      <c r="A73" s="15" t="s">
        <v>232</v>
      </c>
      <c r="B73" s="4"/>
      <c r="C73" s="4" t="s">
        <v>260</v>
      </c>
      <c r="D73" s="156">
        <v>0.7</v>
      </c>
      <c r="E73" s="160">
        <f>E$63</f>
        <v>4.9589999999999996</v>
      </c>
      <c r="F73" s="158">
        <f t="shared" si="3"/>
        <v>3.4712999999999994</v>
      </c>
      <c r="G73" s="158">
        <f t="shared" si="4"/>
        <v>0.34712999999999994</v>
      </c>
      <c r="H73" s="159">
        <f t="shared" si="5"/>
        <v>0.5727644999999999</v>
      </c>
      <c r="I73" s="155">
        <f t="shared" si="6"/>
        <v>4.3911944999999992</v>
      </c>
      <c r="J73" s="4"/>
    </row>
    <row r="74" spans="1:10" ht="12" customHeight="1" x14ac:dyDescent="0.2">
      <c r="A74" s="15" t="s">
        <v>261</v>
      </c>
      <c r="B74" s="4"/>
      <c r="C74" s="4" t="s">
        <v>234</v>
      </c>
      <c r="D74" s="156">
        <v>2</v>
      </c>
      <c r="E74" s="160">
        <f>E$63</f>
        <v>4.9589999999999996</v>
      </c>
      <c r="F74" s="158">
        <f t="shared" si="3"/>
        <v>9.9179999999999993</v>
      </c>
      <c r="G74" s="158">
        <f t="shared" si="4"/>
        <v>0.99180000000000001</v>
      </c>
      <c r="H74" s="159">
        <f t="shared" si="5"/>
        <v>1.6364699999999999</v>
      </c>
      <c r="I74" s="155">
        <f t="shared" si="6"/>
        <v>12.546269999999998</v>
      </c>
      <c r="J74" s="4"/>
    </row>
    <row r="75" spans="1:10" ht="12" customHeight="1" x14ac:dyDescent="0.2">
      <c r="A75" s="15" t="s">
        <v>235</v>
      </c>
      <c r="B75" s="4"/>
      <c r="C75" s="4" t="s">
        <v>236</v>
      </c>
      <c r="D75" s="156">
        <v>0.5</v>
      </c>
      <c r="E75" s="160">
        <f>E$66</f>
        <v>4.9589999999999996</v>
      </c>
      <c r="F75" s="158">
        <f t="shared" si="3"/>
        <v>2.4794999999999998</v>
      </c>
      <c r="G75" s="158">
        <f t="shared" si="4"/>
        <v>0.24795</v>
      </c>
      <c r="H75" s="159">
        <f t="shared" si="5"/>
        <v>0.40911749999999997</v>
      </c>
      <c r="I75" s="155">
        <f t="shared" si="6"/>
        <v>3.1365674999999995</v>
      </c>
      <c r="J75" s="4"/>
    </row>
    <row r="76" spans="1:10" ht="12" customHeight="1" x14ac:dyDescent="0.2">
      <c r="A76" s="15"/>
      <c r="B76" s="4"/>
      <c r="C76" s="4"/>
      <c r="D76" s="156"/>
      <c r="E76" s="160"/>
      <c r="F76" s="158"/>
      <c r="G76" s="158"/>
      <c r="H76" s="159"/>
      <c r="I76" s="155"/>
      <c r="J76" s="4"/>
    </row>
    <row r="77" spans="1:10" ht="12" customHeight="1" x14ac:dyDescent="0.2">
      <c r="A77" s="15" t="s">
        <v>262</v>
      </c>
      <c r="B77" s="4"/>
      <c r="C77" s="4"/>
      <c r="D77" s="161"/>
      <c r="E77" s="162"/>
      <c r="F77" s="162"/>
      <c r="G77" s="162"/>
      <c r="H77" s="163"/>
      <c r="I77" s="164"/>
      <c r="J77" s="4"/>
    </row>
    <row r="78" spans="1:10" ht="12" customHeight="1" x14ac:dyDescent="0.2">
      <c r="A78" s="123" t="s">
        <v>263</v>
      </c>
      <c r="B78" s="4"/>
      <c r="C78" s="4"/>
      <c r="D78" s="4"/>
      <c r="E78" s="4"/>
      <c r="F78" s="4"/>
      <c r="G78" s="4"/>
      <c r="H78" s="4"/>
      <c r="I78" s="164"/>
      <c r="J78" s="4"/>
    </row>
    <row r="79" spans="1:10" ht="12" customHeight="1" x14ac:dyDescent="0.2">
      <c r="A79" s="123" t="s">
        <v>264</v>
      </c>
      <c r="B79" s="4"/>
      <c r="C79" s="4"/>
      <c r="D79" s="4"/>
      <c r="E79" s="4"/>
      <c r="F79" s="4"/>
      <c r="G79" s="4"/>
      <c r="H79" s="4"/>
      <c r="I79" s="164"/>
      <c r="J79" s="4"/>
    </row>
    <row r="80" spans="1:10" ht="12" customHeight="1" x14ac:dyDescent="0.2">
      <c r="A80" s="123" t="s">
        <v>265</v>
      </c>
      <c r="B80" s="4"/>
      <c r="C80" s="4"/>
      <c r="D80" s="4"/>
      <c r="E80" s="4"/>
      <c r="F80" s="4"/>
      <c r="G80" s="4"/>
      <c r="H80" s="4"/>
      <c r="I80" s="164"/>
      <c r="J80" s="4"/>
    </row>
    <row r="81" spans="1:13" ht="12" customHeight="1" thickBot="1" x14ac:dyDescent="0.25">
      <c r="A81" s="165" t="s">
        <v>266</v>
      </c>
      <c r="B81" s="14"/>
      <c r="C81" s="14"/>
      <c r="D81" s="14"/>
      <c r="E81" s="14"/>
      <c r="F81" s="14"/>
      <c r="G81" s="14"/>
      <c r="H81" s="14"/>
      <c r="I81" s="166"/>
      <c r="J81" s="4"/>
    </row>
    <row r="82" spans="1:13" ht="12" customHeight="1" thickBo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3" ht="12" customHeight="1" x14ac:dyDescent="0.25">
      <c r="A83" s="167" t="s">
        <v>702</v>
      </c>
      <c r="B83" s="121"/>
      <c r="C83" s="121"/>
      <c r="D83" s="121"/>
      <c r="E83" s="121"/>
      <c r="F83" s="121"/>
      <c r="G83" s="146"/>
      <c r="H83" s="4"/>
      <c r="I83" s="4"/>
      <c r="J83" s="4"/>
    </row>
    <row r="84" spans="1:13" ht="12" customHeight="1" x14ac:dyDescent="0.2">
      <c r="A84" s="27" t="s">
        <v>703</v>
      </c>
      <c r="B84" s="148"/>
      <c r="C84" s="148" t="s">
        <v>267</v>
      </c>
      <c r="D84" s="148" t="s">
        <v>268</v>
      </c>
      <c r="E84" s="148" t="s">
        <v>269</v>
      </c>
      <c r="F84" s="4"/>
      <c r="G84" s="164"/>
      <c r="H84" s="4"/>
      <c r="I84" s="4"/>
      <c r="J84" s="4"/>
    </row>
    <row r="85" spans="1:13" ht="12" customHeight="1" x14ac:dyDescent="0.2">
      <c r="A85" s="15" t="s">
        <v>270</v>
      </c>
      <c r="B85" s="4"/>
      <c r="C85" s="4"/>
      <c r="D85" s="4"/>
      <c r="E85" s="4"/>
      <c r="F85" s="4"/>
      <c r="G85" s="164"/>
      <c r="H85" s="4"/>
      <c r="I85" s="4"/>
      <c r="J85" s="4"/>
    </row>
    <row r="86" spans="1:13" ht="12" customHeight="1" x14ac:dyDescent="0.2">
      <c r="A86" s="15" t="s">
        <v>271</v>
      </c>
      <c r="B86" s="4"/>
      <c r="C86" s="168">
        <v>31.712679999999999</v>
      </c>
      <c r="D86" s="169">
        <v>11.942275</v>
      </c>
      <c r="E86" s="170">
        <f t="shared" ref="E86:E95" si="8">C86+D86</f>
        <v>43.654955000000001</v>
      </c>
      <c r="F86" s="171"/>
      <c r="G86" s="164"/>
      <c r="H86" s="4"/>
      <c r="I86" s="4"/>
      <c r="J86" s="4"/>
      <c r="L86" s="120"/>
      <c r="M86" s="120"/>
    </row>
    <row r="87" spans="1:13" ht="12" customHeight="1" x14ac:dyDescent="0.2">
      <c r="A87" s="15" t="s">
        <v>272</v>
      </c>
      <c r="B87" s="4"/>
      <c r="C87" s="168">
        <v>33.063220000000001</v>
      </c>
      <c r="D87" s="169">
        <v>11.942275</v>
      </c>
      <c r="E87" s="160">
        <f t="shared" si="8"/>
        <v>45.005495000000003</v>
      </c>
      <c r="F87" s="172"/>
      <c r="G87" s="164"/>
      <c r="H87" s="4"/>
      <c r="I87" s="4"/>
      <c r="J87" s="4"/>
      <c r="L87" s="120"/>
      <c r="M87" s="120"/>
    </row>
    <row r="88" spans="1:13" ht="12" customHeight="1" x14ac:dyDescent="0.2">
      <c r="A88" s="123" t="s">
        <v>273</v>
      </c>
      <c r="B88" s="4"/>
      <c r="C88" s="168">
        <v>27.623545</v>
      </c>
      <c r="D88" s="173">
        <v>11.942275</v>
      </c>
      <c r="E88" s="160">
        <f t="shared" si="8"/>
        <v>39.565820000000002</v>
      </c>
      <c r="F88" s="172"/>
      <c r="G88" s="164"/>
      <c r="H88" s="4"/>
      <c r="I88" s="4"/>
      <c r="J88" s="4"/>
      <c r="L88" s="120"/>
      <c r="M88" s="120"/>
    </row>
    <row r="89" spans="1:13" ht="12" customHeight="1" x14ac:dyDescent="0.2">
      <c r="A89" s="123" t="s">
        <v>274</v>
      </c>
      <c r="B89" s="4"/>
      <c r="C89" s="168">
        <v>31.712679999999999</v>
      </c>
      <c r="D89" s="173">
        <v>11.942275</v>
      </c>
      <c r="E89" s="160">
        <f t="shared" si="8"/>
        <v>43.654955000000001</v>
      </c>
      <c r="F89" s="172"/>
      <c r="G89" s="164"/>
      <c r="H89" s="4"/>
      <c r="I89" s="4"/>
      <c r="J89" s="4"/>
      <c r="L89" s="120"/>
      <c r="M89" s="120"/>
    </row>
    <row r="90" spans="1:13" ht="12" customHeight="1" x14ac:dyDescent="0.2">
      <c r="A90" s="123" t="s">
        <v>247</v>
      </c>
      <c r="B90" s="4"/>
      <c r="C90" s="168">
        <v>31.712679999999999</v>
      </c>
      <c r="D90" s="169">
        <v>11.942275</v>
      </c>
      <c r="E90" s="160">
        <f t="shared" si="8"/>
        <v>43.654955000000001</v>
      </c>
      <c r="F90" s="172"/>
      <c r="G90" s="164"/>
      <c r="H90" s="4"/>
      <c r="I90" s="4"/>
      <c r="J90" s="4"/>
      <c r="L90" s="120"/>
      <c r="M90" s="120"/>
    </row>
    <row r="91" spans="1:13" ht="12" customHeight="1" x14ac:dyDescent="0.2">
      <c r="A91" s="123" t="s">
        <v>275</v>
      </c>
      <c r="B91" s="4"/>
      <c r="C91" s="168">
        <v>22.634050000000002</v>
      </c>
      <c r="D91" s="173">
        <v>6.8027199999999999</v>
      </c>
      <c r="E91" s="160">
        <f t="shared" si="8"/>
        <v>29.436770000000003</v>
      </c>
      <c r="F91" s="172"/>
      <c r="G91" s="164"/>
      <c r="H91" s="4"/>
      <c r="I91" s="4"/>
      <c r="J91" s="4"/>
      <c r="L91" s="120"/>
      <c r="M91" s="120"/>
    </row>
    <row r="92" spans="1:13" ht="12" customHeight="1" x14ac:dyDescent="0.2">
      <c r="A92" s="123" t="s">
        <v>276</v>
      </c>
      <c r="B92" s="4"/>
      <c r="C92" s="168">
        <v>19.932969999999997</v>
      </c>
      <c r="D92" s="173">
        <v>5.2020799999999996</v>
      </c>
      <c r="E92" s="160">
        <f t="shared" si="8"/>
        <v>25.135049999999996</v>
      </c>
      <c r="F92" s="172"/>
      <c r="G92" s="164" t="s">
        <v>277</v>
      </c>
      <c r="H92" s="4"/>
      <c r="I92" s="4"/>
      <c r="J92" s="4"/>
      <c r="L92" s="120"/>
      <c r="M92" s="120"/>
    </row>
    <row r="93" spans="1:13" ht="12" customHeight="1" x14ac:dyDescent="0.2">
      <c r="A93" s="123" t="s">
        <v>278</v>
      </c>
      <c r="B93" s="4"/>
      <c r="C93" s="168">
        <v>26.698174999999999</v>
      </c>
      <c r="D93" s="173">
        <v>9.2036800000000003</v>
      </c>
      <c r="E93" s="160">
        <f t="shared" si="8"/>
        <v>35.901854999999998</v>
      </c>
      <c r="F93" s="172"/>
      <c r="G93" s="164" t="s">
        <v>277</v>
      </c>
      <c r="H93" s="4"/>
      <c r="I93" s="4"/>
      <c r="J93" s="4"/>
      <c r="L93" s="120"/>
      <c r="M93" s="120"/>
    </row>
    <row r="94" spans="1:13" ht="12" customHeight="1" x14ac:dyDescent="0.2">
      <c r="A94" s="123" t="s">
        <v>279</v>
      </c>
      <c r="B94" s="4"/>
      <c r="C94" s="168">
        <v>32.512999999999998</v>
      </c>
      <c r="D94" s="173">
        <v>23.571925</v>
      </c>
      <c r="E94" s="160">
        <f t="shared" si="8"/>
        <v>56.084924999999998</v>
      </c>
      <c r="F94" s="172"/>
      <c r="G94" s="164" t="s">
        <v>277</v>
      </c>
      <c r="H94" s="4"/>
      <c r="I94" s="4"/>
      <c r="J94" s="4"/>
      <c r="L94" s="120"/>
      <c r="M94" s="120"/>
    </row>
    <row r="95" spans="1:13" ht="12" customHeight="1" thickBot="1" x14ac:dyDescent="0.25">
      <c r="A95" s="16" t="s">
        <v>280</v>
      </c>
      <c r="B95" s="14"/>
      <c r="C95" s="174">
        <v>22.021304999999998</v>
      </c>
      <c r="D95" s="175">
        <v>5.4396749999999994</v>
      </c>
      <c r="E95" s="176">
        <f t="shared" si="8"/>
        <v>27.460979999999999</v>
      </c>
      <c r="F95" s="177"/>
      <c r="G95" s="166"/>
      <c r="H95" s="4"/>
      <c r="I95" s="4"/>
      <c r="J95" s="4"/>
      <c r="L95" s="120"/>
      <c r="M95" s="120"/>
    </row>
    <row r="96" spans="1:13" ht="12" customHeight="1" thickBo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1" ht="12" customHeight="1" x14ac:dyDescent="0.25">
      <c r="A97" s="13" t="s">
        <v>281</v>
      </c>
      <c r="B97" s="121"/>
      <c r="C97" s="146"/>
      <c r="D97" s="4"/>
      <c r="E97" s="4"/>
      <c r="F97" s="4"/>
      <c r="G97" s="4"/>
      <c r="H97" s="4"/>
      <c r="I97" s="4"/>
      <c r="J97" s="4"/>
    </row>
    <row r="98" spans="1:11" ht="12" customHeight="1" x14ac:dyDescent="0.25">
      <c r="A98" s="178" t="s">
        <v>701</v>
      </c>
      <c r="B98" s="148" t="s">
        <v>282</v>
      </c>
      <c r="C98" s="149" t="s">
        <v>283</v>
      </c>
      <c r="D98" s="4"/>
      <c r="E98" s="4"/>
      <c r="F98" s="4"/>
      <c r="G98" s="4"/>
      <c r="H98" s="4"/>
      <c r="I98" s="4"/>
      <c r="J98" s="4"/>
    </row>
    <row r="99" spans="1:11" ht="12" customHeight="1" x14ac:dyDescent="0.2">
      <c r="A99" s="15" t="s">
        <v>284</v>
      </c>
      <c r="B99" s="179">
        <v>6.9625000000000004</v>
      </c>
      <c r="C99" s="164" t="s">
        <v>285</v>
      </c>
      <c r="D99" s="4"/>
      <c r="E99" s="4"/>
      <c r="F99" s="4"/>
      <c r="G99" s="4"/>
      <c r="H99" s="4"/>
      <c r="I99" s="4"/>
      <c r="J99" s="4"/>
      <c r="K99" s="120"/>
    </row>
    <row r="100" spans="1:11" ht="12" customHeight="1" x14ac:dyDescent="0.2">
      <c r="A100" s="15" t="s">
        <v>286</v>
      </c>
      <c r="B100" s="179">
        <v>5.0625</v>
      </c>
      <c r="C100" s="164" t="s">
        <v>287</v>
      </c>
      <c r="D100" s="4"/>
      <c r="E100" s="4"/>
      <c r="F100" s="4"/>
      <c r="G100" s="4"/>
      <c r="H100" s="4"/>
      <c r="I100" s="4"/>
      <c r="J100" s="4"/>
      <c r="K100" s="120"/>
    </row>
    <row r="101" spans="1:11" ht="12" customHeight="1" x14ac:dyDescent="0.2">
      <c r="A101" s="123" t="s">
        <v>288</v>
      </c>
      <c r="B101" s="179">
        <v>0.21250000000000002</v>
      </c>
      <c r="C101" s="164" t="s">
        <v>289</v>
      </c>
      <c r="D101" s="4"/>
      <c r="E101" s="4"/>
      <c r="F101" s="4"/>
      <c r="G101" s="4"/>
      <c r="H101" s="4"/>
      <c r="I101" s="4"/>
      <c r="J101" s="4"/>
      <c r="K101" s="120"/>
    </row>
    <row r="102" spans="1:11" ht="12" customHeight="1" x14ac:dyDescent="0.2">
      <c r="A102" s="123" t="s">
        <v>290</v>
      </c>
      <c r="B102" s="180">
        <f>B101*1.5</f>
        <v>0.31875000000000003</v>
      </c>
      <c r="C102" s="164" t="s">
        <v>291</v>
      </c>
      <c r="D102" s="4"/>
      <c r="E102" s="4"/>
      <c r="F102" s="4"/>
      <c r="G102" s="4"/>
      <c r="H102" s="4"/>
      <c r="I102" s="4"/>
      <c r="J102" s="4"/>
      <c r="K102" s="120"/>
    </row>
    <row r="103" spans="1:11" ht="12" customHeight="1" x14ac:dyDescent="0.2">
      <c r="A103" s="15" t="s">
        <v>292</v>
      </c>
      <c r="B103" s="179">
        <v>157.5</v>
      </c>
      <c r="C103" s="164" t="s">
        <v>293</v>
      </c>
      <c r="D103" s="4"/>
      <c r="E103" s="4"/>
      <c r="F103" s="4"/>
      <c r="H103" s="4"/>
      <c r="I103" s="4"/>
      <c r="J103" s="4"/>
      <c r="K103" s="120"/>
    </row>
    <row r="104" spans="1:11" ht="12" customHeight="1" x14ac:dyDescent="0.2">
      <c r="A104" s="15" t="s">
        <v>294</v>
      </c>
      <c r="B104" s="179">
        <v>16.087499999999999</v>
      </c>
      <c r="C104" s="164" t="s">
        <v>295</v>
      </c>
      <c r="D104" s="4"/>
      <c r="E104" s="4"/>
      <c r="F104" s="4"/>
      <c r="G104" s="4"/>
      <c r="H104" s="4"/>
      <c r="I104" s="4"/>
      <c r="J104" s="4"/>
      <c r="K104" s="120"/>
    </row>
    <row r="105" spans="1:11" ht="12" customHeight="1" x14ac:dyDescent="0.2">
      <c r="A105" s="15" t="s">
        <v>296</v>
      </c>
      <c r="B105" s="179">
        <v>45.8</v>
      </c>
      <c r="C105" s="164" t="s">
        <v>297</v>
      </c>
      <c r="D105" s="181"/>
      <c r="E105" s="4"/>
      <c r="F105" s="4"/>
      <c r="G105" s="4"/>
      <c r="H105" s="4"/>
      <c r="I105" s="4"/>
      <c r="J105" s="4"/>
      <c r="K105" s="120"/>
    </row>
    <row r="106" spans="1:11" ht="12" customHeight="1" x14ac:dyDescent="0.2">
      <c r="A106" s="123" t="s">
        <v>298</v>
      </c>
      <c r="B106" s="179">
        <v>42.925000000000004</v>
      </c>
      <c r="C106" s="164" t="s">
        <v>299</v>
      </c>
      <c r="D106" s="4"/>
      <c r="E106" s="4"/>
      <c r="F106" s="4"/>
      <c r="G106" s="4"/>
      <c r="H106" s="4"/>
      <c r="I106" s="4"/>
      <c r="J106" s="4"/>
      <c r="K106" s="120"/>
    </row>
    <row r="107" spans="1:11" ht="12" customHeight="1" x14ac:dyDescent="0.2">
      <c r="A107" s="123" t="s">
        <v>300</v>
      </c>
      <c r="B107" s="179">
        <v>2.5</v>
      </c>
      <c r="C107" s="164" t="s">
        <v>299</v>
      </c>
      <c r="D107" s="4"/>
      <c r="E107" s="4"/>
      <c r="F107" s="4"/>
      <c r="G107" s="4"/>
      <c r="H107" s="4"/>
      <c r="I107" s="4"/>
      <c r="J107" s="4"/>
      <c r="K107" s="120"/>
    </row>
    <row r="108" spans="1:11" ht="12" customHeight="1" x14ac:dyDescent="0.2">
      <c r="A108" s="15" t="s">
        <v>301</v>
      </c>
      <c r="B108" s="179">
        <v>5996.25</v>
      </c>
      <c r="C108" s="164" t="s">
        <v>302</v>
      </c>
      <c r="D108" s="4"/>
      <c r="E108" s="4"/>
      <c r="F108" s="4"/>
      <c r="G108" s="4"/>
      <c r="H108" s="4"/>
      <c r="I108" s="4"/>
      <c r="J108" s="4"/>
      <c r="K108" s="120"/>
    </row>
    <row r="109" spans="1:11" ht="12" customHeight="1" x14ac:dyDescent="0.2">
      <c r="A109" s="123" t="s">
        <v>303</v>
      </c>
      <c r="B109" s="179">
        <v>36.75</v>
      </c>
      <c r="C109" s="164" t="s">
        <v>304</v>
      </c>
      <c r="D109" s="4"/>
      <c r="E109" s="4"/>
      <c r="F109" s="182"/>
      <c r="G109" s="4"/>
      <c r="H109" s="4"/>
      <c r="I109" s="4"/>
      <c r="J109" s="4"/>
      <c r="K109" s="120"/>
    </row>
    <row r="110" spans="1:11" ht="12" customHeight="1" x14ac:dyDescent="0.2">
      <c r="A110" s="15" t="s">
        <v>305</v>
      </c>
      <c r="B110" s="179">
        <v>3156.25</v>
      </c>
      <c r="C110" s="164" t="s">
        <v>302</v>
      </c>
      <c r="D110" s="4"/>
      <c r="E110" s="183"/>
      <c r="F110" s="184"/>
      <c r="G110" s="4"/>
      <c r="H110" s="4"/>
      <c r="I110" s="4"/>
      <c r="J110" s="4"/>
      <c r="K110" s="120"/>
    </row>
    <row r="111" spans="1:11" ht="12" customHeight="1" x14ac:dyDescent="0.2">
      <c r="A111" s="123" t="s">
        <v>306</v>
      </c>
      <c r="B111" s="179">
        <v>10</v>
      </c>
      <c r="C111" s="164" t="s">
        <v>304</v>
      </c>
      <c r="D111" s="185"/>
      <c r="E111" s="186"/>
      <c r="F111" s="187"/>
      <c r="G111" s="4"/>
      <c r="H111" s="4"/>
      <c r="I111" s="4"/>
      <c r="J111" s="4"/>
      <c r="K111" s="120"/>
    </row>
    <row r="112" spans="1:11" ht="12" customHeight="1" x14ac:dyDescent="0.2">
      <c r="A112" s="15" t="s">
        <v>307</v>
      </c>
      <c r="B112" s="179">
        <v>170</v>
      </c>
      <c r="C112" s="164" t="s">
        <v>308</v>
      </c>
      <c r="D112" s="4"/>
      <c r="E112" s="4"/>
      <c r="F112" s="4"/>
      <c r="G112" s="4"/>
      <c r="H112" s="4"/>
      <c r="I112" s="4"/>
      <c r="J112" s="4"/>
      <c r="K112" s="120"/>
    </row>
    <row r="113" spans="1:11" ht="12" customHeight="1" x14ac:dyDescent="0.2">
      <c r="A113" s="15" t="s">
        <v>309</v>
      </c>
      <c r="B113" s="179">
        <v>693.75</v>
      </c>
      <c r="C113" s="164" t="s">
        <v>308</v>
      </c>
      <c r="D113" s="4"/>
      <c r="E113" s="4"/>
      <c r="F113" s="4"/>
      <c r="G113" s="4"/>
      <c r="H113" s="4"/>
      <c r="I113" s="4"/>
      <c r="J113" s="4"/>
      <c r="K113" s="120"/>
    </row>
    <row r="114" spans="1:11" ht="12" customHeight="1" x14ac:dyDescent="0.2">
      <c r="A114" s="15" t="s">
        <v>310</v>
      </c>
      <c r="B114" s="179">
        <v>328.75</v>
      </c>
      <c r="C114" s="164" t="s">
        <v>311</v>
      </c>
      <c r="D114" s="4"/>
      <c r="E114" s="4"/>
      <c r="F114" s="4"/>
      <c r="G114" s="4"/>
      <c r="H114" s="4"/>
      <c r="I114" s="4"/>
      <c r="J114" s="4"/>
      <c r="K114" s="120"/>
    </row>
    <row r="115" spans="1:11" ht="12" customHeight="1" x14ac:dyDescent="0.2">
      <c r="A115" s="15" t="s">
        <v>312</v>
      </c>
      <c r="B115" s="179">
        <v>125</v>
      </c>
      <c r="C115" s="164" t="s">
        <v>313</v>
      </c>
      <c r="D115" s="4"/>
      <c r="E115" s="4"/>
      <c r="F115" s="4"/>
      <c r="G115" s="4"/>
      <c r="H115" s="4"/>
      <c r="I115" s="4"/>
      <c r="J115" s="4"/>
      <c r="K115" s="120"/>
    </row>
    <row r="116" spans="1:11" ht="12" customHeight="1" x14ac:dyDescent="0.2">
      <c r="A116" s="15" t="s">
        <v>314</v>
      </c>
      <c r="B116" s="179">
        <v>1262.5</v>
      </c>
      <c r="C116" s="164" t="s">
        <v>313</v>
      </c>
      <c r="D116" s="4"/>
      <c r="E116" s="4"/>
      <c r="F116" s="4"/>
      <c r="G116" s="4"/>
      <c r="H116" s="4"/>
      <c r="I116" s="4"/>
      <c r="J116" s="4"/>
      <c r="K116" s="120"/>
    </row>
    <row r="117" spans="1:11" ht="12" customHeight="1" x14ac:dyDescent="0.2">
      <c r="A117" s="15" t="s">
        <v>315</v>
      </c>
      <c r="B117" s="179">
        <v>10458.75</v>
      </c>
      <c r="C117" s="164" t="s">
        <v>302</v>
      </c>
      <c r="D117" s="4"/>
      <c r="E117" s="4"/>
      <c r="F117" s="4"/>
      <c r="G117" s="4"/>
      <c r="H117" s="4"/>
      <c r="I117" s="4"/>
      <c r="J117" s="4"/>
      <c r="K117" s="120"/>
    </row>
    <row r="118" spans="1:11" ht="12" customHeight="1" x14ac:dyDescent="0.2">
      <c r="A118" s="15" t="s">
        <v>316</v>
      </c>
      <c r="B118" s="179">
        <v>0</v>
      </c>
      <c r="C118" s="164" t="s">
        <v>317</v>
      </c>
      <c r="D118" s="4"/>
      <c r="E118" s="4"/>
      <c r="F118" s="4"/>
      <c r="G118" s="4"/>
      <c r="H118" s="4"/>
      <c r="I118" s="4"/>
      <c r="J118" s="4"/>
      <c r="K118" s="120"/>
    </row>
    <row r="119" spans="1:11" ht="12" customHeight="1" thickBot="1" x14ac:dyDescent="0.25">
      <c r="A119" s="16" t="s">
        <v>318</v>
      </c>
      <c r="B119" s="188">
        <v>100</v>
      </c>
      <c r="C119" s="166" t="s">
        <v>319</v>
      </c>
      <c r="D119" s="4"/>
      <c r="E119" s="4"/>
      <c r="F119" s="4"/>
      <c r="G119" s="4"/>
      <c r="H119" s="4"/>
      <c r="I119" s="4"/>
      <c r="J119" s="4"/>
      <c r="K119" s="120"/>
    </row>
    <row r="120" spans="1:11" ht="12" customHeight="1" x14ac:dyDescent="0.2">
      <c r="A120" s="15" t="s">
        <v>320</v>
      </c>
      <c r="B120" s="4"/>
      <c r="C120" s="4"/>
      <c r="D120" s="4"/>
      <c r="E120" s="4"/>
      <c r="F120" s="4"/>
      <c r="G120" s="4"/>
      <c r="H120" s="4"/>
      <c r="I120" s="4"/>
      <c r="J120" s="4"/>
    </row>
    <row r="121" spans="1:11" ht="12" customHeight="1" thickBo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1" ht="12" customHeight="1" x14ac:dyDescent="0.25">
      <c r="A122" s="13" t="s">
        <v>321</v>
      </c>
      <c r="B122" s="121"/>
      <c r="C122" s="121"/>
      <c r="D122" s="121"/>
      <c r="E122" s="121"/>
      <c r="F122" s="121"/>
      <c r="G122" s="121"/>
      <c r="H122" s="189"/>
      <c r="I122" s="190"/>
      <c r="J122" s="4"/>
    </row>
    <row r="123" spans="1:11" ht="12" customHeight="1" x14ac:dyDescent="0.2">
      <c r="A123" s="122" t="s">
        <v>322</v>
      </c>
      <c r="B123" s="4" t="s">
        <v>323</v>
      </c>
      <c r="C123" s="148" t="s">
        <v>324</v>
      </c>
      <c r="D123" s="148" t="s">
        <v>325</v>
      </c>
      <c r="E123" s="148"/>
      <c r="F123" s="148" t="s">
        <v>326</v>
      </c>
      <c r="G123" s="148"/>
      <c r="H123" s="148" t="s">
        <v>327</v>
      </c>
      <c r="I123" s="149" t="s">
        <v>325</v>
      </c>
      <c r="J123" s="4"/>
    </row>
    <row r="124" spans="1:11" ht="12" customHeight="1" x14ac:dyDescent="0.2">
      <c r="A124" s="17" t="s">
        <v>9</v>
      </c>
      <c r="B124" s="148" t="s">
        <v>328</v>
      </c>
      <c r="C124" s="4"/>
      <c r="D124" s="4"/>
      <c r="E124" s="4"/>
      <c r="F124" s="4" t="s">
        <v>329</v>
      </c>
      <c r="G124" s="191"/>
      <c r="H124" s="191"/>
      <c r="I124" s="192"/>
      <c r="J124" s="4"/>
    </row>
    <row r="125" spans="1:11" ht="12" customHeight="1" x14ac:dyDescent="0.2">
      <c r="A125" s="123" t="s">
        <v>330</v>
      </c>
      <c r="B125" s="193">
        <f>Input!D13*Input!F13/43560</f>
        <v>0</v>
      </c>
      <c r="C125" s="194">
        <v>2000</v>
      </c>
      <c r="D125" s="4" t="s">
        <v>331</v>
      </c>
      <c r="E125" s="4" t="s">
        <v>332</v>
      </c>
      <c r="F125" s="10">
        <f>Input!D13*Input!F13/12</f>
        <v>0</v>
      </c>
      <c r="G125" s="10"/>
      <c r="H125" s="193">
        <f>F125/$C$125</f>
        <v>0</v>
      </c>
      <c r="I125" s="195" t="s">
        <v>333</v>
      </c>
      <c r="J125" s="4"/>
    </row>
    <row r="126" spans="1:11" ht="12" customHeight="1" x14ac:dyDescent="0.2">
      <c r="A126" s="15"/>
      <c r="B126" s="193">
        <f>Input!D14*Input!F14/43560</f>
        <v>0</v>
      </c>
      <c r="C126" s="4"/>
      <c r="D126" s="4"/>
      <c r="E126" s="4" t="s">
        <v>334</v>
      </c>
      <c r="F126" s="10">
        <f>Input!D14*Input!F14/12</f>
        <v>0</v>
      </c>
      <c r="G126" s="10"/>
      <c r="H126" s="193">
        <f>F126/$C$125</f>
        <v>0</v>
      </c>
      <c r="I126" s="195" t="s">
        <v>333</v>
      </c>
      <c r="J126" s="4"/>
    </row>
    <row r="127" spans="1:11" ht="12" customHeight="1" x14ac:dyDescent="0.2">
      <c r="A127" s="15"/>
      <c r="B127" s="193">
        <f>Input!D15*Input!F15/43560</f>
        <v>0</v>
      </c>
      <c r="C127" s="4"/>
      <c r="D127" s="4"/>
      <c r="E127" s="4" t="s">
        <v>335</v>
      </c>
      <c r="F127" s="10">
        <f>Input!D15*Input!F15/12</f>
        <v>0</v>
      </c>
      <c r="G127" s="10"/>
      <c r="H127" s="193">
        <f>F127/$C$125</f>
        <v>0</v>
      </c>
      <c r="I127" s="195" t="s">
        <v>333</v>
      </c>
      <c r="J127" s="4"/>
    </row>
    <row r="128" spans="1:11" ht="12" customHeight="1" x14ac:dyDescent="0.2">
      <c r="A128" s="123"/>
      <c r="B128" s="193"/>
      <c r="C128" s="4"/>
      <c r="D128" s="4"/>
      <c r="E128" s="4" t="s">
        <v>269</v>
      </c>
      <c r="F128" s="10"/>
      <c r="G128" s="10"/>
      <c r="H128" s="193">
        <f>SUM(H125:H127)</f>
        <v>0</v>
      </c>
      <c r="I128" s="195" t="s">
        <v>336</v>
      </c>
      <c r="J128" s="4"/>
    </row>
    <row r="129" spans="1:10" ht="12" customHeight="1" x14ac:dyDescent="0.2">
      <c r="A129" s="123"/>
      <c r="B129" s="193"/>
      <c r="C129" s="4"/>
      <c r="D129" s="4"/>
      <c r="E129" s="4"/>
      <c r="F129" s="10"/>
      <c r="G129" s="10"/>
      <c r="H129" s="193"/>
      <c r="I129" s="195"/>
      <c r="J129" s="4"/>
    </row>
    <row r="130" spans="1:10" ht="12" customHeight="1" x14ac:dyDescent="0.2">
      <c r="A130" s="17" t="s">
        <v>337</v>
      </c>
      <c r="B130" s="193"/>
      <c r="C130" s="4"/>
      <c r="D130" s="4"/>
      <c r="E130" s="4"/>
      <c r="F130" s="10" t="s">
        <v>338</v>
      </c>
      <c r="G130" s="10"/>
      <c r="H130" s="196"/>
      <c r="I130" s="197"/>
      <c r="J130" s="4"/>
    </row>
    <row r="131" spans="1:10" ht="12" customHeight="1" x14ac:dyDescent="0.2">
      <c r="A131" s="123" t="s">
        <v>339</v>
      </c>
      <c r="B131" s="193"/>
      <c r="C131" s="4">
        <v>130</v>
      </c>
      <c r="D131" s="4" t="s">
        <v>340</v>
      </c>
      <c r="E131" s="4" t="s">
        <v>341</v>
      </c>
      <c r="F131" s="10">
        <f>(Input!D32*Input!H32*(Input!F32+Input!H32))/27</f>
        <v>0</v>
      </c>
      <c r="G131" s="10"/>
      <c r="H131" s="193">
        <f>F131/$C$131</f>
        <v>0</v>
      </c>
      <c r="I131" s="195" t="s">
        <v>333</v>
      </c>
      <c r="J131" s="4"/>
    </row>
    <row r="132" spans="1:10" ht="12" customHeight="1" x14ac:dyDescent="0.2">
      <c r="A132" s="15"/>
      <c r="B132" s="193"/>
      <c r="C132" s="4"/>
      <c r="D132" s="4"/>
      <c r="E132" s="4" t="s">
        <v>342</v>
      </c>
      <c r="F132" s="10">
        <f>(Input!D33*Input!H33*(Input!F33+Input!H33))/27</f>
        <v>0</v>
      </c>
      <c r="G132" s="10"/>
      <c r="H132" s="193">
        <f>F132/$C$131</f>
        <v>0</v>
      </c>
      <c r="I132" s="195" t="s">
        <v>333</v>
      </c>
      <c r="J132" s="4"/>
    </row>
    <row r="133" spans="1:10" ht="12" customHeight="1" x14ac:dyDescent="0.2">
      <c r="A133" s="15"/>
      <c r="B133" s="193"/>
      <c r="C133" s="4"/>
      <c r="D133" s="4"/>
      <c r="E133" s="4" t="s">
        <v>343</v>
      </c>
      <c r="F133" s="10">
        <f>(Input!D34*Input!H34*(Input!F34+Input!H34))/27</f>
        <v>0</v>
      </c>
      <c r="G133" s="10"/>
      <c r="H133" s="193">
        <f>F133/$C$131</f>
        <v>0</v>
      </c>
      <c r="I133" s="195" t="s">
        <v>333</v>
      </c>
      <c r="J133" s="4"/>
    </row>
    <row r="134" spans="1:10" ht="12" customHeight="1" x14ac:dyDescent="0.2">
      <c r="A134" s="15"/>
      <c r="B134" s="193"/>
      <c r="C134" s="4"/>
      <c r="D134" s="4"/>
      <c r="E134" s="4"/>
      <c r="F134" s="10" t="s">
        <v>344</v>
      </c>
      <c r="G134" s="10"/>
      <c r="H134" s="193"/>
      <c r="I134" s="195"/>
      <c r="J134" s="4"/>
    </row>
    <row r="135" spans="1:10" ht="12" customHeight="1" x14ac:dyDescent="0.2">
      <c r="A135" s="123" t="s">
        <v>345</v>
      </c>
      <c r="B135" s="193"/>
      <c r="C135" s="4">
        <v>1458</v>
      </c>
      <c r="D135" s="4" t="s">
        <v>346</v>
      </c>
      <c r="E135" s="4" t="s">
        <v>341</v>
      </c>
      <c r="F135" s="10">
        <f>3*Input!$D32*Input!$F32</f>
        <v>0</v>
      </c>
      <c r="G135" s="10"/>
      <c r="H135" s="193">
        <f>F135/$C$135</f>
        <v>0</v>
      </c>
      <c r="I135" s="195" t="s">
        <v>333</v>
      </c>
      <c r="J135" s="4"/>
    </row>
    <row r="136" spans="1:10" ht="12" customHeight="1" x14ac:dyDescent="0.2">
      <c r="A136" s="15"/>
      <c r="B136" s="193"/>
      <c r="C136" s="4"/>
      <c r="D136" s="4"/>
      <c r="E136" s="4" t="s">
        <v>342</v>
      </c>
      <c r="F136" s="10">
        <f>3*Input!$D33*Input!$F33</f>
        <v>0</v>
      </c>
      <c r="G136" s="10"/>
      <c r="H136" s="193">
        <f>F136/$C$135</f>
        <v>0</v>
      </c>
      <c r="I136" s="195" t="s">
        <v>333</v>
      </c>
      <c r="J136" s="4"/>
    </row>
    <row r="137" spans="1:10" ht="12" customHeight="1" x14ac:dyDescent="0.2">
      <c r="A137" s="15"/>
      <c r="B137" s="193"/>
      <c r="C137" s="4"/>
      <c r="D137" s="4"/>
      <c r="E137" s="4" t="s">
        <v>343</v>
      </c>
      <c r="F137" s="10">
        <f>3*Input!$D34*Input!$F34</f>
        <v>0</v>
      </c>
      <c r="G137" s="10"/>
      <c r="H137" s="193">
        <f>F137/$C$135</f>
        <v>0</v>
      </c>
      <c r="I137" s="195" t="s">
        <v>333</v>
      </c>
      <c r="J137" s="4"/>
    </row>
    <row r="138" spans="1:10" ht="12" customHeight="1" x14ac:dyDescent="0.2">
      <c r="A138" s="15"/>
      <c r="B138" s="193"/>
      <c r="C138" s="4"/>
      <c r="D138" s="4"/>
      <c r="E138" s="4" t="s">
        <v>269</v>
      </c>
      <c r="F138" s="10"/>
      <c r="G138" s="10"/>
      <c r="H138" s="193">
        <f>SUM(H131:H137)</f>
        <v>0</v>
      </c>
      <c r="I138" s="195" t="s">
        <v>347</v>
      </c>
      <c r="J138" s="4"/>
    </row>
    <row r="139" spans="1:10" ht="12" customHeight="1" x14ac:dyDescent="0.2">
      <c r="A139" s="123" t="s">
        <v>348</v>
      </c>
      <c r="B139" s="193"/>
      <c r="C139" s="4">
        <v>200</v>
      </c>
      <c r="D139" s="4" t="s">
        <v>349</v>
      </c>
      <c r="E139" s="4"/>
      <c r="F139" s="10" t="s">
        <v>329</v>
      </c>
      <c r="G139" s="10"/>
      <c r="H139" s="193"/>
      <c r="I139" s="195"/>
      <c r="J139" s="4"/>
    </row>
    <row r="140" spans="1:10" ht="12" customHeight="1" x14ac:dyDescent="0.2">
      <c r="A140" s="15"/>
      <c r="B140" s="193"/>
      <c r="C140" s="4"/>
      <c r="D140" s="4"/>
      <c r="E140" s="4"/>
      <c r="F140" s="10">
        <f>Input!D32+Input!D33+Input!D34</f>
        <v>0</v>
      </c>
      <c r="G140" s="10"/>
      <c r="H140" s="193">
        <f>ROUNDUP(F140/$C$139,0)</f>
        <v>0</v>
      </c>
      <c r="I140" s="195" t="s">
        <v>350</v>
      </c>
      <c r="J140" s="4"/>
    </row>
    <row r="141" spans="1:10" ht="12" customHeight="1" x14ac:dyDescent="0.2">
      <c r="A141" s="123" t="s">
        <v>351</v>
      </c>
      <c r="B141" s="193"/>
      <c r="C141" s="180">
        <f>B101</f>
        <v>0.21250000000000002</v>
      </c>
      <c r="D141" s="4" t="s">
        <v>352</v>
      </c>
      <c r="E141" s="4"/>
      <c r="F141" s="10" t="s">
        <v>353</v>
      </c>
      <c r="G141" s="10"/>
      <c r="H141" s="193">
        <f>C141*F143*Input!D165</f>
        <v>0</v>
      </c>
      <c r="I141" s="195" t="s">
        <v>354</v>
      </c>
      <c r="J141" s="4"/>
    </row>
    <row r="142" spans="1:10" ht="12" customHeight="1" x14ac:dyDescent="0.2">
      <c r="A142" s="15"/>
      <c r="B142" s="193"/>
      <c r="C142" s="4"/>
      <c r="D142" s="4"/>
      <c r="E142" s="4"/>
      <c r="F142" s="4"/>
      <c r="G142" s="10"/>
      <c r="H142" s="193"/>
      <c r="I142" s="195"/>
      <c r="J142" s="4"/>
    </row>
    <row r="143" spans="1:10" ht="12" customHeight="1" x14ac:dyDescent="0.2">
      <c r="A143" s="123" t="s">
        <v>355</v>
      </c>
      <c r="B143" s="193"/>
      <c r="C143" s="180">
        <f>B$105</f>
        <v>45.8</v>
      </c>
      <c r="D143" s="4" t="s">
        <v>356</v>
      </c>
      <c r="E143" s="4"/>
      <c r="F143" s="10">
        <f>(F140*90*(Input!F32)^0.5)/2000</f>
        <v>0</v>
      </c>
      <c r="G143" s="10"/>
      <c r="H143" s="193">
        <f>$F$143*C143</f>
        <v>0</v>
      </c>
      <c r="I143" s="195" t="s">
        <v>354</v>
      </c>
      <c r="J143" s="4"/>
    </row>
    <row r="144" spans="1:10" ht="12" customHeight="1" x14ac:dyDescent="0.2">
      <c r="A144" s="15"/>
      <c r="B144" s="193"/>
      <c r="C144" s="4"/>
      <c r="D144" s="4"/>
      <c r="E144" s="4"/>
      <c r="F144" s="10"/>
      <c r="G144" s="10"/>
      <c r="H144" s="193"/>
      <c r="I144" s="195"/>
      <c r="J144" s="4"/>
    </row>
    <row r="145" spans="1:10" ht="12" customHeight="1" x14ac:dyDescent="0.2">
      <c r="A145" s="17" t="s">
        <v>357</v>
      </c>
      <c r="B145" s="193">
        <f>Continuation!K22/43560</f>
        <v>0</v>
      </c>
      <c r="C145" s="4"/>
      <c r="D145" s="4"/>
      <c r="E145" s="4"/>
      <c r="F145" s="10"/>
      <c r="G145" s="10"/>
      <c r="H145" s="193"/>
      <c r="I145" s="195"/>
      <c r="J145" s="4"/>
    </row>
    <row r="146" spans="1:10" ht="12" customHeight="1" x14ac:dyDescent="0.2">
      <c r="A146" s="15" t="s">
        <v>358</v>
      </c>
      <c r="B146" s="193"/>
      <c r="C146" s="4">
        <v>180</v>
      </c>
      <c r="D146" s="4" t="s">
        <v>340</v>
      </c>
      <c r="E146" s="4"/>
      <c r="F146" s="10">
        <f>Continuation!J22/27</f>
        <v>0</v>
      </c>
      <c r="G146" s="10" t="s">
        <v>338</v>
      </c>
      <c r="H146" s="193">
        <f>ROUNDUP(F146/C146,0)</f>
        <v>0</v>
      </c>
      <c r="I146" s="195" t="s">
        <v>333</v>
      </c>
      <c r="J146" s="4"/>
    </row>
    <row r="147" spans="1:10" ht="12" customHeight="1" x14ac:dyDescent="0.2">
      <c r="A147" s="15" t="s">
        <v>359</v>
      </c>
      <c r="B147" s="193"/>
      <c r="C147" s="4">
        <v>14700</v>
      </c>
      <c r="D147" s="4" t="s">
        <v>346</v>
      </c>
      <c r="E147" s="4"/>
      <c r="F147" s="10">
        <f>IF(Continuation!J22&gt;0,Continuation!K22,0)</f>
        <v>0</v>
      </c>
      <c r="G147" s="10" t="s">
        <v>360</v>
      </c>
      <c r="H147" s="193">
        <f>ROUNDUP(F147/C147,0)</f>
        <v>0</v>
      </c>
      <c r="I147" s="195" t="s">
        <v>333</v>
      </c>
      <c r="J147" s="4"/>
    </row>
    <row r="148" spans="1:10" ht="12" customHeight="1" x14ac:dyDescent="0.2">
      <c r="A148" s="15"/>
      <c r="B148" s="193"/>
      <c r="C148" s="4"/>
      <c r="D148" s="4"/>
      <c r="E148" s="4"/>
      <c r="F148" s="10"/>
      <c r="G148" s="10"/>
      <c r="H148" s="193">
        <f>SUM(H146:H147)</f>
        <v>0</v>
      </c>
      <c r="I148" s="195" t="s">
        <v>361</v>
      </c>
      <c r="J148" s="4"/>
    </row>
    <row r="149" spans="1:10" ht="12" customHeight="1" x14ac:dyDescent="0.2">
      <c r="A149" s="17" t="s">
        <v>362</v>
      </c>
      <c r="B149" s="193">
        <f>Continuation!J36/43560</f>
        <v>0</v>
      </c>
      <c r="C149" s="4"/>
      <c r="D149" s="4"/>
      <c r="E149" s="4"/>
      <c r="F149" s="10"/>
      <c r="G149" s="10"/>
      <c r="H149" s="193"/>
      <c r="I149" s="195"/>
      <c r="J149" s="4"/>
    </row>
    <row r="150" spans="1:10" ht="12" customHeight="1" x14ac:dyDescent="0.2">
      <c r="A150" s="15"/>
      <c r="B150" s="193"/>
      <c r="C150" s="4"/>
      <c r="D150" s="4"/>
      <c r="E150" s="4"/>
      <c r="F150" s="10"/>
      <c r="G150" s="10"/>
      <c r="H150" s="193"/>
      <c r="I150" s="195"/>
      <c r="J150" s="4"/>
    </row>
    <row r="151" spans="1:10" ht="12" customHeight="1" x14ac:dyDescent="0.2">
      <c r="A151" s="17" t="s">
        <v>363</v>
      </c>
      <c r="B151" s="193"/>
      <c r="C151" s="4"/>
      <c r="D151" s="4"/>
      <c r="E151" s="4"/>
      <c r="F151" s="4"/>
      <c r="G151" s="10"/>
      <c r="H151" s="193"/>
      <c r="I151" s="195"/>
      <c r="J151" s="4"/>
    </row>
    <row r="152" spans="1:10" ht="12" customHeight="1" x14ac:dyDescent="0.2">
      <c r="A152" s="15" t="s">
        <v>364</v>
      </c>
      <c r="B152" s="193">
        <f>Continuation!K90/43560</f>
        <v>0</v>
      </c>
      <c r="C152" s="4">
        <v>311</v>
      </c>
      <c r="D152" s="4" t="s">
        <v>340</v>
      </c>
      <c r="E152" s="4"/>
      <c r="F152" s="10">
        <f>Continuation!J90/27</f>
        <v>0</v>
      </c>
      <c r="G152" s="10" t="s">
        <v>338</v>
      </c>
      <c r="H152" s="193">
        <f>F152/C152</f>
        <v>0</v>
      </c>
      <c r="I152" s="195" t="s">
        <v>365</v>
      </c>
      <c r="J152" s="4"/>
    </row>
    <row r="153" spans="1:10" ht="12" customHeight="1" x14ac:dyDescent="0.2">
      <c r="A153" s="15"/>
      <c r="B153" s="193"/>
      <c r="C153" s="4"/>
      <c r="D153" s="4"/>
      <c r="E153" s="4"/>
      <c r="F153" s="10"/>
      <c r="G153" s="10"/>
      <c r="H153" s="193"/>
      <c r="I153" s="195"/>
      <c r="J153" s="4"/>
    </row>
    <row r="154" spans="1:10" ht="12" customHeight="1" x14ac:dyDescent="0.2">
      <c r="A154" s="17" t="s">
        <v>366</v>
      </c>
      <c r="B154" s="193"/>
      <c r="C154" s="4"/>
      <c r="D154" s="4"/>
      <c r="E154" s="4"/>
      <c r="F154" s="10" t="s">
        <v>338</v>
      </c>
      <c r="G154" s="10"/>
      <c r="H154" s="193"/>
      <c r="I154" s="195"/>
      <c r="J154" s="4"/>
    </row>
    <row r="155" spans="1:10" ht="12" customHeight="1" x14ac:dyDescent="0.2">
      <c r="A155" s="15" t="s">
        <v>367</v>
      </c>
      <c r="B155" s="193">
        <f>((Input!D36*Input!F36)+Input!H36*(Input!D36+2*Input!F36)*2)/43560</f>
        <v>0</v>
      </c>
      <c r="C155" s="4">
        <v>355</v>
      </c>
      <c r="D155" s="4" t="s">
        <v>340</v>
      </c>
      <c r="E155" s="4" t="s">
        <v>368</v>
      </c>
      <c r="F155" s="10">
        <f>(0.21*(Input!H36)^2*(2*Input!F36+Input!D36))/27</f>
        <v>0</v>
      </c>
      <c r="G155" s="4"/>
      <c r="H155" s="193">
        <f t="shared" ref="H155:H164" si="9">F155/$C$155</f>
        <v>0</v>
      </c>
      <c r="I155" s="195" t="s">
        <v>333</v>
      </c>
      <c r="J155" s="4"/>
    </row>
    <row r="156" spans="1:10" ht="12" customHeight="1" x14ac:dyDescent="0.2">
      <c r="A156" s="123"/>
      <c r="B156" s="193">
        <f>((Input!D37*Input!F37)+Input!H37*(Input!D37+2*Input!F37)*2)/43560</f>
        <v>0</v>
      </c>
      <c r="C156" s="4"/>
      <c r="D156" s="4"/>
      <c r="E156" s="4" t="s">
        <v>369</v>
      </c>
      <c r="F156" s="10">
        <f>(0.21*(Input!H37)^2*(2*Input!F37+Input!D37))/27</f>
        <v>0</v>
      </c>
      <c r="G156" s="4"/>
      <c r="H156" s="193">
        <f t="shared" si="9"/>
        <v>0</v>
      </c>
      <c r="I156" s="195" t="s">
        <v>333</v>
      </c>
      <c r="J156" s="4"/>
    </row>
    <row r="157" spans="1:10" ht="12" customHeight="1" x14ac:dyDescent="0.2">
      <c r="A157" s="123"/>
      <c r="B157" s="193">
        <f>((Input!D38*Input!F38)+Input!H38*(Input!D38+2*Input!F38)*2)/43560</f>
        <v>0</v>
      </c>
      <c r="C157" s="4"/>
      <c r="D157" s="4"/>
      <c r="E157" s="4" t="s">
        <v>370</v>
      </c>
      <c r="F157" s="10">
        <f>(0.21*(Input!H38)^2*(2*Input!F38+Input!D38))/27</f>
        <v>0</v>
      </c>
      <c r="G157" s="4"/>
      <c r="H157" s="193">
        <f t="shared" si="9"/>
        <v>0</v>
      </c>
      <c r="I157" s="195" t="s">
        <v>333</v>
      </c>
      <c r="J157" s="4" t="s">
        <v>2</v>
      </c>
    </row>
    <row r="158" spans="1:10" ht="12" customHeight="1" x14ac:dyDescent="0.2">
      <c r="A158" s="123"/>
      <c r="B158" s="193">
        <f>((Input!D39*Input!F39)+Input!H39*(Input!D39+2*Input!F39)*2)/43560</f>
        <v>0</v>
      </c>
      <c r="C158" s="4"/>
      <c r="D158" s="4"/>
      <c r="E158" s="4" t="s">
        <v>371</v>
      </c>
      <c r="F158" s="10">
        <f>(0.21*(Input!H39)^2*(2*Input!F39+Input!D39))/27</f>
        <v>0</v>
      </c>
      <c r="G158" s="10"/>
      <c r="H158" s="193">
        <f t="shared" si="9"/>
        <v>0</v>
      </c>
      <c r="I158" s="195" t="s">
        <v>333</v>
      </c>
      <c r="J158" s="4"/>
    </row>
    <row r="159" spans="1:10" ht="12" customHeight="1" x14ac:dyDescent="0.2">
      <c r="A159" s="123"/>
      <c r="B159" s="193">
        <f>((Input!D40*Input!F40)+Input!H40*(Input!D40+2*Input!F40)*2)/43560</f>
        <v>0</v>
      </c>
      <c r="C159" s="4"/>
      <c r="D159" s="4"/>
      <c r="E159" s="4" t="s">
        <v>372</v>
      </c>
      <c r="F159" s="10">
        <f>(0.21*(Input!H40)^2*(2*Input!F40+Input!D40))/27</f>
        <v>0</v>
      </c>
      <c r="G159" s="10"/>
      <c r="H159" s="193">
        <f t="shared" si="9"/>
        <v>0</v>
      </c>
      <c r="I159" s="195" t="s">
        <v>333</v>
      </c>
      <c r="J159" s="4"/>
    </row>
    <row r="160" spans="1:10" ht="12" customHeight="1" x14ac:dyDescent="0.2">
      <c r="A160" s="123"/>
      <c r="B160" s="193">
        <f>((Input!D41*Input!F41)+Input!H41*(Input!D41+2*Input!F41)*2)/43560</f>
        <v>0</v>
      </c>
      <c r="C160" s="4"/>
      <c r="D160" s="4"/>
      <c r="E160" s="4" t="s">
        <v>373</v>
      </c>
      <c r="F160" s="10">
        <f>(0.21*(Input!H41)^2*(2*Input!F41+Input!D41))/27</f>
        <v>0</v>
      </c>
      <c r="G160" s="10"/>
      <c r="H160" s="193">
        <f t="shared" si="9"/>
        <v>0</v>
      </c>
      <c r="I160" s="195" t="s">
        <v>333</v>
      </c>
      <c r="J160" s="4"/>
    </row>
    <row r="161" spans="1:10" ht="12" customHeight="1" x14ac:dyDescent="0.2">
      <c r="A161" s="123"/>
      <c r="B161" s="193">
        <f>((Input!D42*Input!F42)+Input!H42*(Input!D42+2*Input!F42)*2)/43560</f>
        <v>0</v>
      </c>
      <c r="C161" s="4"/>
      <c r="D161" s="4"/>
      <c r="E161" s="4" t="s">
        <v>374</v>
      </c>
      <c r="F161" s="10">
        <f>(0.21*(Input!H42)^2*(2*Input!F42+Input!D42))/27</f>
        <v>0</v>
      </c>
      <c r="G161" s="10"/>
      <c r="H161" s="193">
        <f t="shared" si="9"/>
        <v>0</v>
      </c>
      <c r="I161" s="195" t="s">
        <v>333</v>
      </c>
      <c r="J161" s="4"/>
    </row>
    <row r="162" spans="1:10" ht="12" customHeight="1" x14ac:dyDescent="0.2">
      <c r="A162" s="123"/>
      <c r="B162" s="193">
        <f>((Input!D43*Input!F43)+Input!H43*(Input!D43+2*Input!F43)*2)/43560</f>
        <v>0</v>
      </c>
      <c r="C162" s="4"/>
      <c r="D162" s="4"/>
      <c r="E162" s="4" t="s">
        <v>375</v>
      </c>
      <c r="F162" s="10">
        <f>(0.21*(Input!H43)^2*(2*Input!F43+Input!D43))/27</f>
        <v>0</v>
      </c>
      <c r="G162" s="10"/>
      <c r="H162" s="193">
        <f t="shared" si="9"/>
        <v>0</v>
      </c>
      <c r="I162" s="195" t="s">
        <v>333</v>
      </c>
      <c r="J162" s="4"/>
    </row>
    <row r="163" spans="1:10" ht="12" customHeight="1" x14ac:dyDescent="0.2">
      <c r="A163" s="123"/>
      <c r="B163" s="193">
        <f>((Input!D44*Input!F44)+Input!H44*(Input!D44+2*Input!F44)*2)/43560</f>
        <v>0</v>
      </c>
      <c r="C163" s="4"/>
      <c r="D163" s="4"/>
      <c r="E163" s="4" t="s">
        <v>376</v>
      </c>
      <c r="F163" s="10">
        <f>(0.21*(Input!H44)^2*(2*Input!F44+Input!D44))/27</f>
        <v>0</v>
      </c>
      <c r="G163" s="10"/>
      <c r="H163" s="193">
        <f t="shared" si="9"/>
        <v>0</v>
      </c>
      <c r="I163" s="195" t="s">
        <v>333</v>
      </c>
      <c r="J163" s="4"/>
    </row>
    <row r="164" spans="1:10" ht="12" customHeight="1" x14ac:dyDescent="0.2">
      <c r="A164" s="123"/>
      <c r="B164" s="193">
        <f>((Input!D45*Input!F45)+Input!H45*(Input!D45+2*Input!F45)*2)/43560</f>
        <v>0</v>
      </c>
      <c r="C164" s="4"/>
      <c r="D164" s="4"/>
      <c r="E164" s="4" t="s">
        <v>377</v>
      </c>
      <c r="F164" s="10">
        <f>(0.21*(Input!H45)^2*(2*Input!F45+Input!D45))/27</f>
        <v>0</v>
      </c>
      <c r="G164" s="4"/>
      <c r="H164" s="193">
        <f t="shared" si="9"/>
        <v>0</v>
      </c>
      <c r="I164" s="195" t="s">
        <v>333</v>
      </c>
      <c r="J164" s="4"/>
    </row>
    <row r="165" spans="1:10" ht="12" customHeight="1" x14ac:dyDescent="0.2">
      <c r="A165" s="123"/>
      <c r="B165" s="193"/>
      <c r="C165" s="4"/>
      <c r="D165" s="4"/>
      <c r="E165" s="4" t="s">
        <v>269</v>
      </c>
      <c r="F165" s="10">
        <f>SUM(F155:F164)</f>
        <v>0</v>
      </c>
      <c r="G165" s="10"/>
      <c r="H165" s="193">
        <f>SUM(H155:H164)</f>
        <v>0</v>
      </c>
      <c r="I165" s="195" t="s">
        <v>365</v>
      </c>
      <c r="J165" s="4"/>
    </row>
    <row r="166" spans="1:10" ht="12" customHeight="1" x14ac:dyDescent="0.2">
      <c r="A166" s="123"/>
      <c r="B166" s="193"/>
      <c r="C166" s="4"/>
      <c r="D166" s="4"/>
      <c r="E166" s="4"/>
      <c r="F166" s="10"/>
      <c r="G166" s="10"/>
      <c r="H166" s="193"/>
      <c r="I166" s="195"/>
      <c r="J166" s="4"/>
    </row>
    <row r="167" spans="1:10" ht="12" customHeight="1" x14ac:dyDescent="0.2">
      <c r="A167" s="123" t="s">
        <v>378</v>
      </c>
      <c r="B167" s="193"/>
      <c r="C167" s="4"/>
      <c r="D167" s="4"/>
      <c r="E167" s="4"/>
      <c r="F167" s="10" t="s">
        <v>344</v>
      </c>
      <c r="G167" s="10"/>
      <c r="H167" s="193"/>
      <c r="I167" s="195"/>
      <c r="J167" s="4"/>
    </row>
    <row r="168" spans="1:10" ht="12" customHeight="1" x14ac:dyDescent="0.2">
      <c r="A168" s="123"/>
      <c r="B168" s="193">
        <f t="shared" ref="B168:B177" si="10">F168/43560</f>
        <v>0</v>
      </c>
      <c r="C168" s="4">
        <v>19296</v>
      </c>
      <c r="D168" s="4" t="s">
        <v>346</v>
      </c>
      <c r="E168" s="4" t="s">
        <v>368</v>
      </c>
      <c r="F168" s="10">
        <f>Input!D36*Input!F36</f>
        <v>0</v>
      </c>
      <c r="G168" s="10"/>
      <c r="H168" s="193">
        <f t="shared" ref="H168:H177" si="11">F168/C$168</f>
        <v>0</v>
      </c>
      <c r="I168" s="195" t="s">
        <v>333</v>
      </c>
      <c r="J168" s="4"/>
    </row>
    <row r="169" spans="1:10" ht="12" customHeight="1" x14ac:dyDescent="0.2">
      <c r="A169" s="123"/>
      <c r="B169" s="193">
        <f t="shared" si="10"/>
        <v>0</v>
      </c>
      <c r="C169" s="4"/>
      <c r="D169" s="4"/>
      <c r="E169" s="4" t="s">
        <v>369</v>
      </c>
      <c r="F169" s="10">
        <f>Input!D37*Input!F37</f>
        <v>0</v>
      </c>
      <c r="G169" s="10"/>
      <c r="H169" s="193">
        <f t="shared" si="11"/>
        <v>0</v>
      </c>
      <c r="I169" s="195" t="s">
        <v>333</v>
      </c>
      <c r="J169" s="4"/>
    </row>
    <row r="170" spans="1:10" ht="12" customHeight="1" x14ac:dyDescent="0.2">
      <c r="A170" s="198"/>
      <c r="B170" s="193">
        <f t="shared" si="10"/>
        <v>0</v>
      </c>
      <c r="C170" s="4"/>
      <c r="D170" s="4"/>
      <c r="E170" s="4" t="s">
        <v>370</v>
      </c>
      <c r="F170" s="10">
        <f>Input!D38*Input!F38</f>
        <v>0</v>
      </c>
      <c r="G170" s="10"/>
      <c r="H170" s="193">
        <f t="shared" si="11"/>
        <v>0</v>
      </c>
      <c r="I170" s="195" t="s">
        <v>333</v>
      </c>
      <c r="J170" s="4"/>
    </row>
    <row r="171" spans="1:10" ht="12" customHeight="1" x14ac:dyDescent="0.2">
      <c r="A171" s="198"/>
      <c r="B171" s="193">
        <f t="shared" si="10"/>
        <v>0</v>
      </c>
      <c r="C171" s="4"/>
      <c r="D171" s="4"/>
      <c r="E171" s="4" t="s">
        <v>371</v>
      </c>
      <c r="F171" s="10">
        <f>Input!D39*Input!F39</f>
        <v>0</v>
      </c>
      <c r="G171" s="10"/>
      <c r="H171" s="193">
        <f t="shared" si="11"/>
        <v>0</v>
      </c>
      <c r="I171" s="195" t="s">
        <v>333</v>
      </c>
      <c r="J171" s="4"/>
    </row>
    <row r="172" spans="1:10" ht="12" customHeight="1" x14ac:dyDescent="0.2">
      <c r="A172" s="198"/>
      <c r="B172" s="193">
        <f t="shared" si="10"/>
        <v>0</v>
      </c>
      <c r="C172" s="4"/>
      <c r="D172" s="4"/>
      <c r="E172" s="4" t="s">
        <v>372</v>
      </c>
      <c r="F172" s="10">
        <f>Input!D40*Input!F40</f>
        <v>0</v>
      </c>
      <c r="G172" s="10"/>
      <c r="H172" s="193">
        <f t="shared" si="11"/>
        <v>0</v>
      </c>
      <c r="I172" s="195" t="s">
        <v>333</v>
      </c>
      <c r="J172" s="4"/>
    </row>
    <row r="173" spans="1:10" ht="12" customHeight="1" x14ac:dyDescent="0.2">
      <c r="A173" s="198"/>
      <c r="B173" s="193">
        <f t="shared" si="10"/>
        <v>0</v>
      </c>
      <c r="C173" s="4"/>
      <c r="D173" s="4"/>
      <c r="E173" s="4" t="s">
        <v>373</v>
      </c>
      <c r="F173" s="10">
        <f>Input!D41*Input!F41</f>
        <v>0</v>
      </c>
      <c r="G173" s="10"/>
      <c r="H173" s="193">
        <f t="shared" si="11"/>
        <v>0</v>
      </c>
      <c r="I173" s="195" t="s">
        <v>333</v>
      </c>
      <c r="J173" s="4"/>
    </row>
    <row r="174" spans="1:10" ht="12" customHeight="1" x14ac:dyDescent="0.2">
      <c r="A174" s="198"/>
      <c r="B174" s="193">
        <f t="shared" si="10"/>
        <v>0</v>
      </c>
      <c r="C174" s="4"/>
      <c r="D174" s="4"/>
      <c r="E174" s="4" t="s">
        <v>374</v>
      </c>
      <c r="F174" s="10">
        <f>Input!D42*Input!F42</f>
        <v>0</v>
      </c>
      <c r="G174" s="10"/>
      <c r="H174" s="193">
        <f t="shared" si="11"/>
        <v>0</v>
      </c>
      <c r="I174" s="195" t="s">
        <v>333</v>
      </c>
      <c r="J174" s="4"/>
    </row>
    <row r="175" spans="1:10" ht="12" customHeight="1" x14ac:dyDescent="0.2">
      <c r="A175" s="198"/>
      <c r="B175" s="193">
        <f t="shared" si="10"/>
        <v>0</v>
      </c>
      <c r="C175" s="4"/>
      <c r="D175" s="4"/>
      <c r="E175" s="4" t="s">
        <v>375</v>
      </c>
      <c r="F175" s="10">
        <f>Input!D43*Input!F43</f>
        <v>0</v>
      </c>
      <c r="G175" s="10"/>
      <c r="H175" s="193">
        <f t="shared" si="11"/>
        <v>0</v>
      </c>
      <c r="I175" s="195" t="s">
        <v>333</v>
      </c>
      <c r="J175" s="4"/>
    </row>
    <row r="176" spans="1:10" ht="12" customHeight="1" x14ac:dyDescent="0.2">
      <c r="A176" s="198"/>
      <c r="B176" s="193">
        <f t="shared" si="10"/>
        <v>0</v>
      </c>
      <c r="C176" s="4"/>
      <c r="D176" s="4"/>
      <c r="E176" s="4" t="s">
        <v>376</v>
      </c>
      <c r="F176" s="10">
        <f>Input!D44*Input!F44</f>
        <v>0</v>
      </c>
      <c r="G176" s="10"/>
      <c r="H176" s="193">
        <f t="shared" si="11"/>
        <v>0</v>
      </c>
      <c r="I176" s="195" t="s">
        <v>333</v>
      </c>
      <c r="J176" s="4"/>
    </row>
    <row r="177" spans="1:16" ht="12" customHeight="1" x14ac:dyDescent="0.2">
      <c r="A177" s="198"/>
      <c r="B177" s="193">
        <f t="shared" si="10"/>
        <v>0</v>
      </c>
      <c r="C177" s="4"/>
      <c r="D177" s="4"/>
      <c r="E177" s="4" t="s">
        <v>377</v>
      </c>
      <c r="F177" s="10">
        <f>Input!D45*Input!F45</f>
        <v>0</v>
      </c>
      <c r="G177" s="10"/>
      <c r="H177" s="193">
        <f t="shared" si="11"/>
        <v>0</v>
      </c>
      <c r="I177" s="195" t="s">
        <v>333</v>
      </c>
      <c r="J177" s="4"/>
    </row>
    <row r="178" spans="1:16" ht="12" customHeight="1" x14ac:dyDescent="0.2">
      <c r="A178" s="198"/>
      <c r="B178" s="193"/>
      <c r="C178" s="4"/>
      <c r="D178" s="4"/>
      <c r="E178" s="4" t="s">
        <v>269</v>
      </c>
      <c r="F178" s="10"/>
      <c r="G178" s="10"/>
      <c r="H178" s="193">
        <f>SUM(H168:H177)</f>
        <v>0</v>
      </c>
      <c r="I178" s="195" t="s">
        <v>365</v>
      </c>
      <c r="J178" s="4"/>
    </row>
    <row r="179" spans="1:16" ht="12" customHeight="1" x14ac:dyDescent="0.2">
      <c r="A179" s="198"/>
      <c r="B179" s="193"/>
      <c r="C179" s="4"/>
      <c r="D179" s="4"/>
      <c r="E179" s="4"/>
      <c r="F179" s="10"/>
      <c r="G179" s="10"/>
      <c r="H179" s="193"/>
      <c r="I179" s="195"/>
      <c r="J179" s="4"/>
    </row>
    <row r="180" spans="1:16" ht="12" customHeight="1" x14ac:dyDescent="0.2">
      <c r="A180" s="17" t="s">
        <v>1</v>
      </c>
      <c r="B180" s="193"/>
      <c r="C180" s="4"/>
      <c r="D180" s="4"/>
      <c r="E180" s="4"/>
      <c r="F180" s="10" t="s">
        <v>379</v>
      </c>
      <c r="G180" s="10" t="s">
        <v>380</v>
      </c>
      <c r="H180" s="193"/>
      <c r="I180" s="195"/>
      <c r="J180" s="4"/>
    </row>
    <row r="181" spans="1:16" ht="12" customHeight="1" x14ac:dyDescent="0.2">
      <c r="A181" s="123" t="s">
        <v>381</v>
      </c>
      <c r="B181" s="193"/>
      <c r="C181" s="4">
        <v>237</v>
      </c>
      <c r="D181" s="4" t="s">
        <v>340</v>
      </c>
      <c r="E181" s="4" t="s">
        <v>382</v>
      </c>
      <c r="F181" s="10">
        <f>IF(Input!D48=0,(Input!D47*Input!F47*Input!H47)/27,(Input!D47*Input!F47*(Input!H47-Input!D48))/27)</f>
        <v>0</v>
      </c>
      <c r="G181" s="10">
        <f>((Input!D47*Input!F47*Input!H47)/27)-F181</f>
        <v>0</v>
      </c>
      <c r="H181" s="193">
        <f>F181/$C$181+G181/$C$182</f>
        <v>0</v>
      </c>
      <c r="I181" s="195" t="s">
        <v>333</v>
      </c>
      <c r="J181" s="4"/>
    </row>
    <row r="182" spans="1:16" ht="12" customHeight="1" x14ac:dyDescent="0.2">
      <c r="A182" s="123" t="s">
        <v>383</v>
      </c>
      <c r="B182" s="193"/>
      <c r="C182" s="4">
        <v>237</v>
      </c>
      <c r="D182" s="4" t="s">
        <v>340</v>
      </c>
      <c r="E182" s="4" t="s">
        <v>384</v>
      </c>
      <c r="F182" s="10">
        <f>IF(Input!D50=0,(Input!D49*Input!F49*Input!H49)/27,(Input!D49*Input!F49*(Input!H49-Input!D50))/27)</f>
        <v>0</v>
      </c>
      <c r="G182" s="10">
        <f>((Input!D49*Input!F49*Input!H49)/27)-F182</f>
        <v>0</v>
      </c>
      <c r="H182" s="193">
        <f>F182/$C$181+G182/$C$182</f>
        <v>0</v>
      </c>
      <c r="I182" s="195" t="s">
        <v>333</v>
      </c>
      <c r="J182" s="10"/>
      <c r="K182" s="10"/>
      <c r="L182" s="10"/>
      <c r="M182" s="10"/>
      <c r="N182" s="10"/>
      <c r="O182" s="10"/>
      <c r="P182" s="10"/>
    </row>
    <row r="183" spans="1:16" ht="12" customHeight="1" x14ac:dyDescent="0.2">
      <c r="A183" s="15"/>
      <c r="B183" s="4"/>
      <c r="C183" s="4"/>
      <c r="D183" s="4"/>
      <c r="E183" s="4" t="s">
        <v>385</v>
      </c>
      <c r="F183" s="10">
        <f>IF(Input!D52=0,(Input!D51*Input!F51*Input!H51)/27,(Input!D51*Input!F51*(Input!H51-Input!D52))/27)</f>
        <v>0</v>
      </c>
      <c r="G183" s="10">
        <f>((Input!D51*Input!F51*Input!H51)/27)-F183</f>
        <v>0</v>
      </c>
      <c r="H183" s="193">
        <f>F183/$C$181+G183/$C$182</f>
        <v>0</v>
      </c>
      <c r="I183" s="195" t="s">
        <v>333</v>
      </c>
      <c r="J183" s="10"/>
      <c r="K183" s="10"/>
      <c r="L183" s="10"/>
      <c r="M183" s="10"/>
      <c r="N183" s="10"/>
      <c r="O183" s="10"/>
      <c r="P183" s="10"/>
    </row>
    <row r="184" spans="1:16" ht="12" customHeight="1" x14ac:dyDescent="0.2">
      <c r="A184" s="15"/>
      <c r="B184" s="4"/>
      <c r="C184" s="4"/>
      <c r="D184" s="4"/>
      <c r="E184" s="4" t="s">
        <v>386</v>
      </c>
      <c r="F184" s="10">
        <f>IF(Input!D54=0,(Input!D53*Input!F53*Input!H53)/27,(Input!D53*Input!F53*(Input!H53-Input!D54))/27)</f>
        <v>0</v>
      </c>
      <c r="G184" s="10">
        <f>((Input!D53*Input!F53*Input!H53)/27)-F184</f>
        <v>0</v>
      </c>
      <c r="H184" s="193">
        <f>F184/$C$181+G184/$C$182</f>
        <v>0</v>
      </c>
      <c r="I184" s="195" t="s">
        <v>333</v>
      </c>
      <c r="J184" s="10"/>
      <c r="K184" s="10"/>
      <c r="L184" s="10"/>
      <c r="M184" s="10"/>
    </row>
    <row r="185" spans="1:16" ht="12" customHeight="1" x14ac:dyDescent="0.2">
      <c r="A185" s="15"/>
      <c r="B185" s="4"/>
      <c r="C185" s="4"/>
      <c r="D185" s="4"/>
      <c r="E185" s="4" t="s">
        <v>387</v>
      </c>
      <c r="F185" s="10">
        <f>IF(Input!D56=0,(Input!D55*Input!F55*Input!H55)/27,(Input!D55*Input!F55*(Input!H55-Input!D56))/27)</f>
        <v>0</v>
      </c>
      <c r="G185" s="10">
        <f>((Input!D55*Input!F55*Input!H55)/27)-F185</f>
        <v>0</v>
      </c>
      <c r="H185" s="193">
        <f>F185/$C$181+G185/$C$182</f>
        <v>0</v>
      </c>
      <c r="I185" s="195" t="s">
        <v>333</v>
      </c>
      <c r="J185" s="10"/>
      <c r="K185" s="10"/>
      <c r="L185" s="10"/>
      <c r="M185" s="10"/>
    </row>
    <row r="186" spans="1:16" ht="12" customHeight="1" x14ac:dyDescent="0.2">
      <c r="A186" s="15"/>
      <c r="B186" s="4"/>
      <c r="C186" s="4"/>
      <c r="D186" s="4"/>
      <c r="E186" s="4" t="s">
        <v>269</v>
      </c>
      <c r="F186" s="10"/>
      <c r="G186" s="10"/>
      <c r="H186" s="193">
        <f>SUM(H181:H185)</f>
        <v>0</v>
      </c>
      <c r="I186" s="195" t="s">
        <v>388</v>
      </c>
      <c r="J186" s="10"/>
      <c r="K186" s="10"/>
      <c r="L186" s="10"/>
      <c r="M186" s="10"/>
    </row>
    <row r="187" spans="1:16" ht="12" customHeight="1" x14ac:dyDescent="0.2">
      <c r="A187" s="123" t="s">
        <v>389</v>
      </c>
      <c r="B187" s="193"/>
      <c r="C187" s="180">
        <f>B104</f>
        <v>16.087499999999999</v>
      </c>
      <c r="D187" s="4" t="s">
        <v>390</v>
      </c>
      <c r="E187" s="4"/>
      <c r="F187" s="10"/>
      <c r="G187" s="10"/>
      <c r="H187" s="193">
        <f>(G181+G182+G183+G184+G185)*C187+((G181+G182+G183+G184+G185)*C188*Input!$D$58)</f>
        <v>0</v>
      </c>
      <c r="I187" s="195" t="s">
        <v>354</v>
      </c>
      <c r="J187" s="10"/>
      <c r="K187" s="10"/>
      <c r="L187" s="10"/>
      <c r="M187" s="10"/>
    </row>
    <row r="188" spans="1:16" ht="12" customHeight="1" x14ac:dyDescent="0.2">
      <c r="A188" s="123" t="s">
        <v>391</v>
      </c>
      <c r="B188" s="193"/>
      <c r="C188" s="180">
        <f>B102</f>
        <v>0.31875000000000003</v>
      </c>
      <c r="D188" s="4" t="s">
        <v>392</v>
      </c>
      <c r="E188" s="4"/>
      <c r="F188" s="4"/>
      <c r="G188" s="4"/>
      <c r="H188" s="193"/>
      <c r="I188" s="195" t="s">
        <v>393</v>
      </c>
      <c r="J188" s="10"/>
      <c r="K188" s="10"/>
      <c r="L188" s="10"/>
      <c r="M188" s="10"/>
    </row>
    <row r="189" spans="1:16" ht="12" customHeight="1" x14ac:dyDescent="0.2">
      <c r="A189" s="123" t="s">
        <v>394</v>
      </c>
      <c r="B189" s="193"/>
      <c r="C189" s="4"/>
      <c r="D189" s="4"/>
      <c r="E189" s="4"/>
      <c r="F189" s="10" t="s">
        <v>395</v>
      </c>
      <c r="G189" s="10"/>
      <c r="H189" s="193"/>
      <c r="I189" s="195"/>
      <c r="J189" s="10"/>
      <c r="K189" s="10"/>
      <c r="L189" s="10"/>
      <c r="M189" s="10"/>
      <c r="N189" s="10"/>
      <c r="O189" s="10"/>
      <c r="P189" s="10"/>
    </row>
    <row r="190" spans="1:16" ht="12" customHeight="1" x14ac:dyDescent="0.2">
      <c r="A190" s="123" t="s">
        <v>396</v>
      </c>
      <c r="B190" s="193"/>
      <c r="C190" s="180">
        <v>325</v>
      </c>
      <c r="D190" s="4" t="s">
        <v>397</v>
      </c>
      <c r="E190" s="4"/>
      <c r="F190" s="10">
        <f>(IF(F181=0,0,IF(F182=0,1,IF(F183=0,2,3))))*2</f>
        <v>0</v>
      </c>
      <c r="G190" s="10"/>
      <c r="H190" s="193">
        <f>F190*C190</f>
        <v>0</v>
      </c>
      <c r="I190" s="195" t="s">
        <v>354</v>
      </c>
      <c r="J190" s="10"/>
      <c r="K190" s="10"/>
      <c r="L190" s="10"/>
      <c r="M190" s="10"/>
      <c r="N190" s="10"/>
      <c r="O190" s="10"/>
    </row>
    <row r="191" spans="1:16" ht="12" customHeight="1" x14ac:dyDescent="0.2">
      <c r="A191" s="123" t="s">
        <v>398</v>
      </c>
      <c r="B191" s="193"/>
      <c r="C191" s="4">
        <v>6</v>
      </c>
      <c r="D191" s="4" t="s">
        <v>399</v>
      </c>
      <c r="E191" s="4"/>
      <c r="F191" s="10"/>
      <c r="G191" s="10"/>
      <c r="H191" s="193">
        <f>F190*(C191*E94)</f>
        <v>0</v>
      </c>
      <c r="I191" s="195" t="s">
        <v>354</v>
      </c>
      <c r="J191" s="10"/>
      <c r="K191" s="10"/>
      <c r="L191" s="10"/>
      <c r="M191" s="10"/>
      <c r="N191" s="10"/>
      <c r="O191" s="10"/>
      <c r="P191" s="10"/>
    </row>
    <row r="192" spans="1:16" ht="12" customHeight="1" x14ac:dyDescent="0.2">
      <c r="A192" s="123" t="s">
        <v>400</v>
      </c>
      <c r="B192" s="193"/>
      <c r="C192" s="4"/>
      <c r="D192" s="4"/>
      <c r="E192" s="4"/>
      <c r="F192" s="10" t="s">
        <v>395</v>
      </c>
      <c r="G192" s="10"/>
      <c r="H192" s="193"/>
      <c r="I192" s="195"/>
      <c r="J192" s="10"/>
      <c r="K192" s="10"/>
      <c r="L192" s="10"/>
      <c r="M192" s="10"/>
      <c r="N192" s="10"/>
      <c r="O192" s="10"/>
      <c r="P192" s="10"/>
    </row>
    <row r="193" spans="1:16" ht="12" customHeight="1" x14ac:dyDescent="0.2">
      <c r="A193" s="123" t="s">
        <v>401</v>
      </c>
      <c r="B193" s="193"/>
      <c r="C193" s="180">
        <v>140</v>
      </c>
      <c r="D193" s="4" t="s">
        <v>402</v>
      </c>
      <c r="E193" s="4"/>
      <c r="F193" s="10">
        <f>F190/2</f>
        <v>0</v>
      </c>
      <c r="G193" s="10"/>
      <c r="H193" s="193">
        <f>F193*C193</f>
        <v>0</v>
      </c>
      <c r="I193" s="195" t="s">
        <v>354</v>
      </c>
      <c r="J193" s="10"/>
      <c r="K193" s="10"/>
      <c r="L193" s="10"/>
      <c r="M193" s="10"/>
      <c r="N193" s="10"/>
      <c r="O193" s="10"/>
    </row>
    <row r="194" spans="1:16" ht="12" customHeight="1" x14ac:dyDescent="0.2">
      <c r="A194" s="123" t="s">
        <v>398</v>
      </c>
      <c r="B194" s="193"/>
      <c r="C194" s="4">
        <v>6</v>
      </c>
      <c r="D194" s="4" t="s">
        <v>403</v>
      </c>
      <c r="E194" s="4"/>
      <c r="F194" s="10"/>
      <c r="G194" s="10"/>
      <c r="H194" s="193">
        <f>F193*(C194*E95)</f>
        <v>0</v>
      </c>
      <c r="I194" s="195" t="s">
        <v>354</v>
      </c>
      <c r="J194" s="10"/>
      <c r="K194" s="10"/>
      <c r="L194" s="10"/>
      <c r="M194" s="10"/>
      <c r="N194" s="10"/>
      <c r="O194" s="10"/>
      <c r="P194" s="10"/>
    </row>
    <row r="195" spans="1:16" ht="12" customHeight="1" x14ac:dyDescent="0.2">
      <c r="A195" s="15"/>
      <c r="B195" s="193"/>
      <c r="C195" s="4"/>
      <c r="D195" s="4"/>
      <c r="E195" s="4"/>
      <c r="F195" s="10" t="s">
        <v>338</v>
      </c>
      <c r="G195" s="10"/>
      <c r="H195" s="193"/>
      <c r="I195" s="195"/>
      <c r="J195" s="10"/>
      <c r="K195" s="10"/>
      <c r="L195" s="10"/>
      <c r="M195" s="10"/>
      <c r="N195" s="10"/>
      <c r="O195" s="10"/>
      <c r="P195" s="10"/>
    </row>
    <row r="196" spans="1:16" ht="12" customHeight="1" x14ac:dyDescent="0.2">
      <c r="A196" s="17" t="s">
        <v>404</v>
      </c>
      <c r="B196" s="193">
        <f>Input!D60*Input!F60/43560</f>
        <v>0</v>
      </c>
      <c r="C196" s="4">
        <v>311</v>
      </c>
      <c r="D196" s="4" t="s">
        <v>340</v>
      </c>
      <c r="E196" s="4" t="s">
        <v>405</v>
      </c>
      <c r="F196" s="10">
        <f>(Input!D60+Input!F60)*2*1.73</f>
        <v>0</v>
      </c>
      <c r="G196" s="10"/>
      <c r="H196" s="193">
        <f>F196/C$196</f>
        <v>0</v>
      </c>
      <c r="I196" s="195"/>
      <c r="J196" s="10"/>
      <c r="K196" s="10"/>
      <c r="L196" s="10"/>
      <c r="M196" s="10"/>
      <c r="N196" s="10"/>
      <c r="O196" s="10"/>
      <c r="P196" s="10"/>
    </row>
    <row r="197" spans="1:16" ht="12" customHeight="1" x14ac:dyDescent="0.2">
      <c r="A197" s="15" t="s">
        <v>406</v>
      </c>
      <c r="B197" s="193">
        <f>Input!D61*Input!F61/43560</f>
        <v>0</v>
      </c>
      <c r="C197" s="4"/>
      <c r="D197" s="4"/>
      <c r="E197" s="4" t="s">
        <v>407</v>
      </c>
      <c r="F197" s="10">
        <f>(Input!D61+Input!F61)*2*1.73</f>
        <v>0</v>
      </c>
      <c r="G197" s="10"/>
      <c r="H197" s="193">
        <f>F197/C$196</f>
        <v>0</v>
      </c>
      <c r="I197" s="195"/>
      <c r="J197" s="10"/>
      <c r="K197" s="10"/>
      <c r="L197" s="10"/>
      <c r="M197" s="10"/>
      <c r="N197" s="10"/>
      <c r="O197" s="10"/>
      <c r="P197" s="10"/>
    </row>
    <row r="198" spans="1:16" ht="12" customHeight="1" x14ac:dyDescent="0.2">
      <c r="A198" s="15" t="s">
        <v>408</v>
      </c>
      <c r="B198" s="193">
        <f>Input!D62*Input!F62/43560</f>
        <v>0</v>
      </c>
      <c r="C198" s="4"/>
      <c r="D198" s="4"/>
      <c r="E198" s="4" t="s">
        <v>409</v>
      </c>
      <c r="F198" s="10">
        <f>(Input!D62+Input!F62)*2*1.73</f>
        <v>0</v>
      </c>
      <c r="G198" s="10"/>
      <c r="H198" s="193">
        <f>F198/C$196</f>
        <v>0</v>
      </c>
      <c r="I198" s="195"/>
      <c r="J198" s="10"/>
      <c r="K198" s="10"/>
      <c r="L198" s="10"/>
      <c r="M198" s="10"/>
      <c r="N198" s="10"/>
      <c r="O198" s="10"/>
      <c r="P198" s="10"/>
    </row>
    <row r="199" spans="1:16" ht="12" customHeight="1" x14ac:dyDescent="0.2">
      <c r="A199" s="17"/>
      <c r="B199" s="193">
        <f>Input!D63*Input!F63/43560</f>
        <v>0</v>
      </c>
      <c r="C199" s="4"/>
      <c r="D199" s="4"/>
      <c r="E199" s="4" t="s">
        <v>410</v>
      </c>
      <c r="F199" s="10">
        <f>(Input!D63+Input!F63)*2*1.73</f>
        <v>0</v>
      </c>
      <c r="G199" s="10"/>
      <c r="H199" s="193">
        <f>F199/C$196</f>
        <v>0</v>
      </c>
      <c r="I199" s="195"/>
      <c r="J199" s="10"/>
      <c r="K199" s="10"/>
      <c r="L199" s="10"/>
      <c r="M199" s="10"/>
      <c r="N199" s="10"/>
      <c r="O199" s="10"/>
      <c r="P199" s="10"/>
    </row>
    <row r="200" spans="1:16" ht="12" customHeight="1" x14ac:dyDescent="0.2">
      <c r="A200" s="17"/>
      <c r="B200" s="193">
        <f>Input!D64*Input!F64/43560</f>
        <v>0</v>
      </c>
      <c r="C200" s="4"/>
      <c r="D200" s="4"/>
      <c r="E200" s="4" t="s">
        <v>411</v>
      </c>
      <c r="F200" s="10">
        <f>(Input!D64+Input!F64)*2*1.73</f>
        <v>0</v>
      </c>
      <c r="G200" s="10"/>
      <c r="H200" s="193">
        <f>F200/C$196</f>
        <v>0</v>
      </c>
      <c r="I200" s="195"/>
      <c r="J200" s="10"/>
      <c r="K200" s="10"/>
      <c r="L200" s="10"/>
      <c r="M200" s="10"/>
      <c r="N200" s="10"/>
      <c r="O200" s="10"/>
      <c r="P200" s="10"/>
    </row>
    <row r="201" spans="1:16" ht="12" customHeight="1" x14ac:dyDescent="0.2">
      <c r="A201" s="17"/>
      <c r="B201" s="193"/>
      <c r="C201" s="4"/>
      <c r="D201" s="4"/>
      <c r="E201" s="4"/>
      <c r="F201" s="10"/>
      <c r="G201" s="10"/>
      <c r="H201" s="193">
        <f>SUM(H196:H200)</f>
        <v>0</v>
      </c>
      <c r="I201" s="195" t="s">
        <v>365</v>
      </c>
      <c r="J201" s="10"/>
      <c r="K201" s="10"/>
      <c r="L201" s="10"/>
      <c r="M201" s="10"/>
      <c r="N201" s="10"/>
      <c r="O201" s="10"/>
      <c r="P201" s="10"/>
    </row>
    <row r="202" spans="1:16" ht="12" customHeight="1" x14ac:dyDescent="0.2">
      <c r="A202" s="17"/>
      <c r="B202" s="193"/>
      <c r="C202" s="4"/>
      <c r="D202" s="4"/>
      <c r="E202" s="4"/>
      <c r="F202" s="10"/>
      <c r="G202" s="10"/>
      <c r="H202" s="193"/>
      <c r="I202" s="195"/>
      <c r="J202" s="10"/>
      <c r="K202" s="10"/>
      <c r="L202" s="10"/>
      <c r="M202" s="10"/>
      <c r="N202" s="10"/>
      <c r="O202" s="10"/>
      <c r="P202" s="10"/>
    </row>
    <row r="203" spans="1:16" ht="12" customHeight="1" x14ac:dyDescent="0.2">
      <c r="A203" s="17" t="s">
        <v>412</v>
      </c>
      <c r="B203" s="193">
        <f>Continuation!K114/43560</f>
        <v>0</v>
      </c>
      <c r="C203" s="4">
        <v>237</v>
      </c>
      <c r="D203" s="4" t="s">
        <v>340</v>
      </c>
      <c r="E203" s="4" t="s">
        <v>413</v>
      </c>
      <c r="F203" s="10">
        <f>Continuation!J114/27</f>
        <v>0</v>
      </c>
      <c r="G203" s="10"/>
      <c r="H203" s="193">
        <f>F203/$C$203</f>
        <v>0</v>
      </c>
      <c r="I203" s="195" t="s">
        <v>333</v>
      </c>
      <c r="J203" s="10"/>
      <c r="K203" s="10"/>
      <c r="L203" s="10"/>
      <c r="M203" s="10"/>
      <c r="N203" s="10"/>
      <c r="O203" s="10"/>
      <c r="P203" s="10"/>
    </row>
    <row r="204" spans="1:16" ht="12" customHeight="1" x14ac:dyDescent="0.2">
      <c r="A204" s="15" t="s">
        <v>414</v>
      </c>
      <c r="B204" s="193"/>
      <c r="C204" s="4"/>
      <c r="D204" s="4"/>
      <c r="E204" s="4"/>
      <c r="F204" s="10"/>
      <c r="G204" s="10"/>
      <c r="H204" s="193"/>
      <c r="I204" s="195"/>
      <c r="J204" s="10"/>
      <c r="K204" s="10"/>
      <c r="L204" s="10"/>
      <c r="M204" s="10"/>
      <c r="N204" s="10"/>
      <c r="O204" s="10"/>
      <c r="P204" s="10"/>
    </row>
    <row r="205" spans="1:16" ht="12" customHeight="1" x14ac:dyDescent="0.2">
      <c r="A205" s="15"/>
      <c r="B205" s="193"/>
      <c r="C205" s="4"/>
      <c r="D205" s="4"/>
      <c r="E205" s="4"/>
      <c r="F205" s="10" t="s">
        <v>338</v>
      </c>
      <c r="G205" s="4"/>
      <c r="H205" s="193"/>
      <c r="I205" s="195"/>
      <c r="J205" s="10" t="s">
        <v>2</v>
      </c>
      <c r="K205" s="10"/>
      <c r="L205" s="10"/>
      <c r="M205" s="10"/>
      <c r="N205" s="10"/>
      <c r="O205" s="10"/>
      <c r="P205" s="10"/>
    </row>
    <row r="206" spans="1:16" ht="12" customHeight="1" x14ac:dyDescent="0.2">
      <c r="A206" s="17" t="s">
        <v>60</v>
      </c>
      <c r="B206" s="193">
        <f>(Input!D73*Input!F73*3)/43560</f>
        <v>0</v>
      </c>
      <c r="C206" s="4">
        <v>232</v>
      </c>
      <c r="D206" s="4" t="s">
        <v>340</v>
      </c>
      <c r="E206" s="4" t="s">
        <v>415</v>
      </c>
      <c r="F206" s="10">
        <f>(Input!D73*Input!F73^2)*0.0097</f>
        <v>0</v>
      </c>
      <c r="G206" s="4"/>
      <c r="H206" s="193">
        <f>F206/C$206</f>
        <v>0</v>
      </c>
      <c r="I206" s="195"/>
      <c r="J206" s="10"/>
      <c r="K206" s="10"/>
      <c r="L206" s="10"/>
      <c r="M206" s="10"/>
      <c r="N206" s="10"/>
      <c r="O206" s="10"/>
      <c r="P206" s="10"/>
    </row>
    <row r="207" spans="1:16" ht="12" customHeight="1" x14ac:dyDescent="0.2">
      <c r="A207" s="15" t="s">
        <v>416</v>
      </c>
      <c r="B207" s="193">
        <f>(Input!D74*Input!F74*3)/43560</f>
        <v>0</v>
      </c>
      <c r="C207" s="4"/>
      <c r="D207" s="4"/>
      <c r="E207" s="4" t="s">
        <v>417</v>
      </c>
      <c r="F207" s="10">
        <f>(Input!D74*Input!F74^2)*0.0097</f>
        <v>0</v>
      </c>
      <c r="G207" s="4"/>
      <c r="H207" s="193">
        <f>F207/C$206</f>
        <v>0</v>
      </c>
      <c r="I207" s="195"/>
      <c r="J207" s="10"/>
      <c r="K207" s="10"/>
      <c r="L207" s="10"/>
      <c r="M207" s="10"/>
      <c r="N207" s="10"/>
      <c r="O207" s="10"/>
      <c r="P207" s="10"/>
    </row>
    <row r="208" spans="1:16" ht="12" customHeight="1" x14ac:dyDescent="0.2">
      <c r="A208" s="15" t="s">
        <v>418</v>
      </c>
      <c r="B208" s="193">
        <f>(Input!D75*Input!F75*3)/43560</f>
        <v>0</v>
      </c>
      <c r="C208" s="4"/>
      <c r="D208" s="4"/>
      <c r="E208" s="4" t="s">
        <v>419</v>
      </c>
      <c r="F208" s="10">
        <f>(Input!D75*Input!F75^2)*0.0097</f>
        <v>0</v>
      </c>
      <c r="G208" s="4"/>
      <c r="H208" s="193">
        <f>F208/C$206</f>
        <v>0</v>
      </c>
      <c r="I208" s="195"/>
      <c r="J208" s="10"/>
      <c r="K208" s="10"/>
      <c r="L208" s="10"/>
      <c r="M208" s="10"/>
      <c r="N208" s="10"/>
      <c r="O208" s="10"/>
      <c r="P208" s="10"/>
    </row>
    <row r="209" spans="1:16" ht="12" customHeight="1" x14ac:dyDescent="0.2">
      <c r="A209" s="15"/>
      <c r="B209" s="193">
        <f>(Input!D76*Input!F76*3)/43560</f>
        <v>0</v>
      </c>
      <c r="C209" s="4"/>
      <c r="D209" s="4"/>
      <c r="E209" s="4" t="s">
        <v>420</v>
      </c>
      <c r="F209" s="10">
        <f>(Input!D76*Input!F76^2)*0.0097</f>
        <v>0</v>
      </c>
      <c r="G209" s="4"/>
      <c r="H209" s="193">
        <f>F209/C$206</f>
        <v>0</v>
      </c>
      <c r="I209" s="195"/>
      <c r="J209" s="10"/>
      <c r="K209" s="10"/>
      <c r="L209" s="10"/>
      <c r="M209" s="10"/>
      <c r="N209" s="10"/>
      <c r="O209" s="10"/>
      <c r="P209" s="10"/>
    </row>
    <row r="210" spans="1:16" ht="12" customHeight="1" x14ac:dyDescent="0.2">
      <c r="A210" s="15"/>
      <c r="B210" s="193"/>
      <c r="C210" s="4"/>
      <c r="D210" s="4"/>
      <c r="E210" s="4"/>
      <c r="F210" s="10">
        <f>SUM(F206:F209)</f>
        <v>0</v>
      </c>
      <c r="G210" s="4"/>
      <c r="H210" s="193">
        <f>SUM(H206:H209)</f>
        <v>0</v>
      </c>
      <c r="I210" s="195" t="s">
        <v>365</v>
      </c>
      <c r="J210" s="10"/>
      <c r="K210" s="10"/>
      <c r="L210" s="10"/>
      <c r="M210" s="10"/>
      <c r="N210" s="10"/>
      <c r="O210" s="10"/>
      <c r="P210" s="10"/>
    </row>
    <row r="211" spans="1:16" ht="12" customHeight="1" x14ac:dyDescent="0.2">
      <c r="A211" s="15"/>
      <c r="B211" s="193"/>
      <c r="C211" s="4"/>
      <c r="D211" s="4"/>
      <c r="E211" s="4"/>
      <c r="F211" s="10"/>
      <c r="G211" s="4"/>
      <c r="H211" s="193"/>
      <c r="I211" s="195"/>
      <c r="J211" s="10"/>
      <c r="K211" s="10"/>
      <c r="L211" s="10"/>
      <c r="M211" s="10"/>
      <c r="N211" s="10"/>
      <c r="O211" s="10"/>
      <c r="P211" s="10"/>
    </row>
    <row r="212" spans="1:16" ht="12" customHeight="1" x14ac:dyDescent="0.2">
      <c r="A212" s="17" t="s">
        <v>421</v>
      </c>
      <c r="B212" s="193">
        <f>Continuation!K143/43560</f>
        <v>0</v>
      </c>
      <c r="C212" s="4">
        <v>237</v>
      </c>
      <c r="D212" s="4" t="s">
        <v>422</v>
      </c>
      <c r="E212" s="4" t="s">
        <v>413</v>
      </c>
      <c r="F212" s="10">
        <f>Continuation!J143/27</f>
        <v>0</v>
      </c>
      <c r="G212" s="10"/>
      <c r="H212" s="193">
        <f>F212/$C$212</f>
        <v>0</v>
      </c>
      <c r="I212" s="195" t="s">
        <v>388</v>
      </c>
      <c r="J212" s="10"/>
      <c r="K212" s="10"/>
      <c r="L212" s="10"/>
      <c r="M212" s="10"/>
      <c r="N212" s="10"/>
      <c r="O212" s="10"/>
      <c r="P212" s="10"/>
    </row>
    <row r="213" spans="1:16" ht="12" customHeight="1" x14ac:dyDescent="0.2">
      <c r="A213" s="15"/>
      <c r="B213" s="193"/>
      <c r="C213" s="4"/>
      <c r="D213" s="4"/>
      <c r="E213" s="4"/>
      <c r="F213" s="10"/>
      <c r="G213" s="10"/>
      <c r="H213" s="193"/>
      <c r="I213" s="164"/>
      <c r="J213" s="10"/>
      <c r="K213" s="10"/>
      <c r="L213" s="10"/>
      <c r="M213" s="10"/>
      <c r="N213" s="10"/>
      <c r="O213" s="10"/>
      <c r="P213" s="10"/>
    </row>
    <row r="214" spans="1:16" ht="12" customHeight="1" x14ac:dyDescent="0.2">
      <c r="A214" s="17" t="s">
        <v>74</v>
      </c>
      <c r="B214" s="193"/>
      <c r="C214" s="4"/>
      <c r="D214" s="4"/>
      <c r="E214" s="4"/>
      <c r="F214" s="10"/>
      <c r="G214" s="10"/>
      <c r="H214" s="199"/>
      <c r="I214" s="192"/>
      <c r="J214" s="4"/>
    </row>
    <row r="215" spans="1:16" ht="12" customHeight="1" x14ac:dyDescent="0.2">
      <c r="A215" s="123" t="s">
        <v>423</v>
      </c>
      <c r="B215" s="193"/>
      <c r="C215" s="4">
        <v>16</v>
      </c>
      <c r="D215" s="4" t="s">
        <v>424</v>
      </c>
      <c r="E215" s="4"/>
      <c r="F215" s="10"/>
      <c r="G215" s="10"/>
      <c r="H215" s="193">
        <f>Input!D90*C215*E94</f>
        <v>0</v>
      </c>
      <c r="I215" s="195" t="s">
        <v>354</v>
      </c>
      <c r="J215" s="10"/>
      <c r="K215" s="10"/>
      <c r="L215" s="10"/>
      <c r="M215" s="10"/>
    </row>
    <row r="216" spans="1:16" ht="12" customHeight="1" x14ac:dyDescent="0.2">
      <c r="A216" s="123" t="s">
        <v>425</v>
      </c>
      <c r="B216" s="193"/>
      <c r="C216" s="180">
        <v>240</v>
      </c>
      <c r="D216" s="4" t="s">
        <v>426</v>
      </c>
      <c r="E216" s="4"/>
      <c r="F216" s="10" t="s">
        <v>427</v>
      </c>
      <c r="G216" s="10"/>
      <c r="H216" s="193">
        <f>Input!D90*C216</f>
        <v>0</v>
      </c>
      <c r="I216" s="195" t="s">
        <v>354</v>
      </c>
      <c r="J216" s="10"/>
      <c r="K216" s="10"/>
      <c r="L216" s="10"/>
      <c r="M216" s="10"/>
    </row>
    <row r="217" spans="1:16" ht="12" customHeight="1" x14ac:dyDescent="0.2">
      <c r="A217" s="123" t="s">
        <v>428</v>
      </c>
      <c r="B217" s="193"/>
      <c r="C217" s="4">
        <v>12</v>
      </c>
      <c r="D217" s="4" t="s">
        <v>422</v>
      </c>
      <c r="E217" s="4"/>
      <c r="F217" s="10">
        <v>76</v>
      </c>
      <c r="G217" s="10"/>
      <c r="H217" s="193">
        <f>ROUNDUP(Input!D90*F217/C217,0)</f>
        <v>0</v>
      </c>
      <c r="I217" s="195" t="s">
        <v>333</v>
      </c>
      <c r="J217" s="4"/>
    </row>
    <row r="218" spans="1:16" ht="12" customHeight="1" x14ac:dyDescent="0.2">
      <c r="A218" s="15"/>
      <c r="B218" s="193"/>
      <c r="C218" s="4"/>
      <c r="D218" s="4"/>
      <c r="E218" s="4"/>
      <c r="F218" s="10"/>
      <c r="G218" s="10"/>
      <c r="H218" s="193"/>
      <c r="I218" s="195"/>
      <c r="J218" s="10"/>
      <c r="K218" s="10"/>
      <c r="L218" s="10"/>
      <c r="M218" s="10"/>
      <c r="N218" s="10"/>
      <c r="O218" s="10"/>
      <c r="P218" s="10"/>
    </row>
    <row r="219" spans="1:16" ht="12" customHeight="1" x14ac:dyDescent="0.2">
      <c r="A219" s="17" t="s">
        <v>429</v>
      </c>
      <c r="B219" s="193"/>
      <c r="C219" s="4"/>
      <c r="D219" s="4"/>
      <c r="E219" s="4"/>
      <c r="F219" s="4" t="s">
        <v>430</v>
      </c>
      <c r="G219" s="10"/>
      <c r="H219" s="193"/>
      <c r="I219" s="195"/>
      <c r="J219" s="10"/>
      <c r="K219" s="10"/>
      <c r="L219" s="10"/>
      <c r="M219" s="10"/>
      <c r="N219" s="10"/>
      <c r="O219" s="10"/>
      <c r="P219" s="10"/>
    </row>
    <row r="220" spans="1:16" ht="12" customHeight="1" x14ac:dyDescent="0.2">
      <c r="A220" s="123" t="s">
        <v>431</v>
      </c>
      <c r="B220" s="193"/>
      <c r="C220" s="4">
        <v>4</v>
      </c>
      <c r="D220" s="4" t="s">
        <v>432</v>
      </c>
      <c r="E220" s="4"/>
      <c r="F220" s="10">
        <f>IF(F221&gt;0,1,0)+IF(F222&gt;0,1,0)</f>
        <v>0</v>
      </c>
      <c r="G220" s="10"/>
      <c r="H220" s="193">
        <f>ROUNDUP(C220*E95,0)*F220</f>
        <v>0</v>
      </c>
      <c r="I220" s="195" t="s">
        <v>354</v>
      </c>
      <c r="J220" s="10"/>
      <c r="K220" s="10"/>
      <c r="L220" s="10"/>
      <c r="M220" s="10"/>
      <c r="N220" s="10"/>
      <c r="O220" s="10"/>
    </row>
    <row r="221" spans="1:16" ht="12" customHeight="1" x14ac:dyDescent="0.2">
      <c r="A221" s="123" t="s">
        <v>414</v>
      </c>
      <c r="B221" s="193">
        <f>Input!D92*Input!F92/43560</f>
        <v>0</v>
      </c>
      <c r="C221" s="4">
        <v>237</v>
      </c>
      <c r="D221" s="4" t="s">
        <v>340</v>
      </c>
      <c r="E221" s="4" t="s">
        <v>433</v>
      </c>
      <c r="F221" s="10">
        <f>(Input!D92*Input!F92*Input!H92)/27</f>
        <v>0</v>
      </c>
      <c r="G221" s="10"/>
      <c r="H221" s="193">
        <f>F221/$C$221</f>
        <v>0</v>
      </c>
      <c r="I221" s="195" t="s">
        <v>333</v>
      </c>
      <c r="J221" s="10"/>
      <c r="K221" s="10"/>
      <c r="L221" s="10"/>
      <c r="M221" s="10"/>
      <c r="N221" s="10"/>
      <c r="O221" s="10"/>
      <c r="P221" s="10"/>
    </row>
    <row r="222" spans="1:16" ht="12" customHeight="1" x14ac:dyDescent="0.2">
      <c r="A222" s="15"/>
      <c r="B222" s="193">
        <f>Input!D93*Input!F93/43560</f>
        <v>0</v>
      </c>
      <c r="C222" s="4"/>
      <c r="D222" s="4"/>
      <c r="E222" s="4" t="s">
        <v>434</v>
      </c>
      <c r="F222" s="10">
        <f>(Input!D93*Input!F93*Input!H93)/27</f>
        <v>0</v>
      </c>
      <c r="G222" s="10"/>
      <c r="H222" s="193">
        <f>F222/$C$221</f>
        <v>0</v>
      </c>
      <c r="I222" s="195" t="s">
        <v>333</v>
      </c>
      <c r="J222" s="10"/>
      <c r="K222" s="10"/>
      <c r="L222" s="10"/>
      <c r="M222" s="10"/>
      <c r="N222" s="10"/>
      <c r="O222" s="10"/>
      <c r="P222" s="10"/>
    </row>
    <row r="223" spans="1:16" ht="12" customHeight="1" x14ac:dyDescent="0.2">
      <c r="A223" s="15"/>
      <c r="B223" s="193"/>
      <c r="C223" s="4"/>
      <c r="D223" s="4"/>
      <c r="E223" s="4"/>
      <c r="F223" s="10"/>
      <c r="G223" s="10"/>
      <c r="H223" s="193"/>
      <c r="I223" s="195"/>
      <c r="J223" s="10"/>
      <c r="K223" s="10"/>
      <c r="L223" s="10"/>
      <c r="M223" s="10"/>
      <c r="N223" s="10"/>
      <c r="O223" s="10"/>
      <c r="P223" s="10"/>
    </row>
    <row r="224" spans="1:16" ht="12" customHeight="1" x14ac:dyDescent="0.2">
      <c r="A224" s="17" t="s">
        <v>77</v>
      </c>
      <c r="B224" s="193">
        <f>((Input!D96+2*Input!H96)*(Input!F96+2*Input!H96))/43560</f>
        <v>0</v>
      </c>
      <c r="C224" s="4"/>
      <c r="D224" s="4"/>
      <c r="E224" s="4"/>
      <c r="F224" s="10" t="s">
        <v>338</v>
      </c>
      <c r="G224" s="10"/>
      <c r="H224" s="193"/>
      <c r="I224" s="195"/>
      <c r="J224" s="10"/>
      <c r="K224" s="10"/>
      <c r="L224" s="10"/>
      <c r="M224" s="10"/>
      <c r="N224" s="10"/>
      <c r="O224" s="10"/>
      <c r="P224" s="10"/>
    </row>
    <row r="225" spans="1:16" ht="12" customHeight="1" x14ac:dyDescent="0.2">
      <c r="A225" s="123" t="s">
        <v>435</v>
      </c>
      <c r="B225" s="193"/>
      <c r="C225" s="4">
        <v>284</v>
      </c>
      <c r="D225" s="4" t="s">
        <v>340</v>
      </c>
      <c r="E225" s="4"/>
      <c r="F225" s="10">
        <f>((Input!H96^2)*(Input!D96+Input!F96))/(4*27)</f>
        <v>0</v>
      </c>
      <c r="G225" s="10"/>
      <c r="H225" s="193">
        <f>F225/$C$225</f>
        <v>0</v>
      </c>
      <c r="I225" s="195" t="s">
        <v>333</v>
      </c>
      <c r="J225" s="10"/>
      <c r="K225" s="10"/>
      <c r="L225" s="10"/>
      <c r="M225" s="10"/>
      <c r="N225" s="10"/>
      <c r="O225" s="10"/>
      <c r="P225" s="10"/>
    </row>
    <row r="226" spans="1:16" ht="12" customHeight="1" x14ac:dyDescent="0.2">
      <c r="A226" s="123" t="s">
        <v>436</v>
      </c>
      <c r="B226" s="193"/>
      <c r="C226" s="4">
        <v>153</v>
      </c>
      <c r="D226" s="4" t="s">
        <v>340</v>
      </c>
      <c r="E226" s="4"/>
      <c r="F226" s="10">
        <f>(B224*43560*1.7)/27</f>
        <v>0</v>
      </c>
      <c r="G226" s="4"/>
      <c r="H226" s="193">
        <f>F226/C226</f>
        <v>0</v>
      </c>
      <c r="I226" s="195" t="s">
        <v>333</v>
      </c>
      <c r="J226" s="10"/>
      <c r="K226" s="10"/>
      <c r="L226" s="10"/>
      <c r="M226" s="10"/>
      <c r="N226" s="10"/>
      <c r="O226" s="10"/>
      <c r="P226" s="10"/>
    </row>
    <row r="227" spans="1:16" ht="12" customHeight="1" x14ac:dyDescent="0.2">
      <c r="A227" s="123" t="s">
        <v>437</v>
      </c>
      <c r="B227" s="193"/>
      <c r="C227" s="4">
        <f>C226</f>
        <v>153</v>
      </c>
      <c r="D227" s="4" t="s">
        <v>340</v>
      </c>
      <c r="E227" s="4"/>
      <c r="F227" s="10">
        <f>F226</f>
        <v>0</v>
      </c>
      <c r="G227" s="10"/>
      <c r="H227" s="193">
        <f>F227/$C$227</f>
        <v>0</v>
      </c>
      <c r="I227" s="195" t="s">
        <v>333</v>
      </c>
      <c r="J227" s="4"/>
    </row>
    <row r="228" spans="1:16" ht="12" customHeight="1" x14ac:dyDescent="0.2">
      <c r="A228" s="123" t="s">
        <v>438</v>
      </c>
      <c r="B228" s="193"/>
      <c r="C228" s="4">
        <v>237</v>
      </c>
      <c r="D228" s="4" t="s">
        <v>340</v>
      </c>
      <c r="E228" s="4"/>
      <c r="F228" s="10">
        <f>F226</f>
        <v>0</v>
      </c>
      <c r="G228" s="10"/>
      <c r="H228" s="193">
        <f>F228/C228</f>
        <v>0</v>
      </c>
      <c r="I228" s="195" t="s">
        <v>333</v>
      </c>
      <c r="J228" s="10"/>
      <c r="K228" s="10"/>
      <c r="L228" s="10"/>
      <c r="M228" s="10"/>
      <c r="N228" s="10"/>
      <c r="O228" s="10"/>
      <c r="P228" s="10"/>
    </row>
    <row r="229" spans="1:16" ht="12" customHeight="1" x14ac:dyDescent="0.2">
      <c r="A229" s="15"/>
      <c r="B229" s="193"/>
      <c r="C229" s="4"/>
      <c r="D229" s="4"/>
      <c r="E229" s="4"/>
      <c r="F229" s="4"/>
      <c r="G229" s="10"/>
      <c r="H229" s="193"/>
      <c r="I229" s="195"/>
      <c r="J229" s="10"/>
      <c r="K229" s="10"/>
      <c r="L229" s="10"/>
      <c r="M229" s="10"/>
      <c r="N229" s="10"/>
      <c r="O229" s="10"/>
      <c r="P229" s="10"/>
    </row>
    <row r="230" spans="1:16" ht="12" customHeight="1" x14ac:dyDescent="0.2">
      <c r="A230" s="17" t="s">
        <v>301</v>
      </c>
      <c r="B230" s="193"/>
      <c r="C230" s="180"/>
      <c r="D230" s="4"/>
      <c r="E230" s="4"/>
      <c r="F230" s="10" t="s">
        <v>439</v>
      </c>
      <c r="G230" s="10"/>
      <c r="H230" s="193"/>
      <c r="I230" s="195"/>
      <c r="J230" s="10"/>
      <c r="K230" s="10"/>
      <c r="L230" s="10"/>
      <c r="M230" s="10"/>
      <c r="N230" s="10"/>
      <c r="O230" s="10"/>
    </row>
    <row r="231" spans="1:16" ht="12" customHeight="1" x14ac:dyDescent="0.2">
      <c r="A231" s="15" t="s">
        <v>440</v>
      </c>
      <c r="B231" s="193"/>
      <c r="C231" s="180">
        <f>B108</f>
        <v>5996.25</v>
      </c>
      <c r="D231" s="4"/>
      <c r="E231" s="4"/>
      <c r="F231" s="10"/>
      <c r="G231" s="10"/>
      <c r="H231" s="193"/>
      <c r="I231" s="195"/>
      <c r="J231" s="10"/>
      <c r="K231" s="10"/>
      <c r="L231" s="10"/>
      <c r="M231" s="10"/>
      <c r="N231" s="10"/>
      <c r="O231" s="10"/>
    </row>
    <row r="232" spans="1:16" ht="12" customHeight="1" x14ac:dyDescent="0.2">
      <c r="A232" s="15" t="s">
        <v>441</v>
      </c>
      <c r="B232" s="193"/>
      <c r="C232" s="180">
        <f>B109</f>
        <v>36.75</v>
      </c>
      <c r="D232" s="4"/>
      <c r="E232" s="4"/>
      <c r="F232" s="10">
        <f>Input!D100</f>
        <v>0</v>
      </c>
      <c r="G232" s="10"/>
      <c r="H232" s="193">
        <f>IF(F232&gt;0,C231+(C232*F232),0)</f>
        <v>0</v>
      </c>
      <c r="I232" s="195" t="s">
        <v>354</v>
      </c>
      <c r="J232" s="10"/>
      <c r="K232" s="10"/>
      <c r="L232" s="10"/>
      <c r="M232" s="10"/>
      <c r="N232" s="10"/>
      <c r="O232" s="10"/>
      <c r="P232" s="10"/>
    </row>
    <row r="233" spans="1:16" ht="12" customHeight="1" x14ac:dyDescent="0.2">
      <c r="A233" s="15"/>
      <c r="B233" s="193"/>
      <c r="C233" s="4"/>
      <c r="D233" s="4"/>
      <c r="E233" s="4"/>
      <c r="F233" s="4"/>
      <c r="G233" s="10"/>
      <c r="H233" s="193"/>
      <c r="I233" s="195"/>
      <c r="J233" s="10"/>
      <c r="K233" s="10"/>
      <c r="L233" s="10"/>
      <c r="M233" s="10"/>
      <c r="N233" s="10"/>
      <c r="O233" s="10"/>
      <c r="P233" s="10"/>
    </row>
    <row r="234" spans="1:16" ht="12" customHeight="1" x14ac:dyDescent="0.2">
      <c r="A234" s="200" t="s">
        <v>442</v>
      </c>
      <c r="B234" s="193"/>
      <c r="C234" s="4"/>
      <c r="D234" s="4"/>
      <c r="E234" s="4"/>
      <c r="F234" s="10" t="s">
        <v>439</v>
      </c>
      <c r="G234" s="10"/>
      <c r="H234" s="193"/>
      <c r="I234" s="195"/>
      <c r="J234" s="10"/>
      <c r="K234" s="10"/>
      <c r="L234" s="10"/>
      <c r="M234" s="10"/>
      <c r="N234" s="10"/>
      <c r="O234" s="10"/>
      <c r="P234" s="10"/>
    </row>
    <row r="235" spans="1:16" ht="12" customHeight="1" x14ac:dyDescent="0.2">
      <c r="A235" s="123" t="s">
        <v>443</v>
      </c>
      <c r="B235" s="193"/>
      <c r="C235" s="180">
        <f>B110</f>
        <v>3156.25</v>
      </c>
      <c r="D235" s="4" t="s">
        <v>444</v>
      </c>
      <c r="E235" s="201"/>
      <c r="F235" s="10"/>
      <c r="G235" s="4"/>
      <c r="H235" s="193"/>
      <c r="I235" s="195"/>
      <c r="J235" s="10"/>
      <c r="K235" s="10"/>
      <c r="L235" s="10"/>
      <c r="M235" s="10"/>
      <c r="N235" s="10"/>
      <c r="O235" s="10"/>
      <c r="P235" s="10"/>
    </row>
    <row r="236" spans="1:16" ht="12" customHeight="1" x14ac:dyDescent="0.2">
      <c r="A236" s="123" t="s">
        <v>445</v>
      </c>
      <c r="B236" s="193"/>
      <c r="C236" s="180">
        <f>B111</f>
        <v>10</v>
      </c>
      <c r="D236" s="4" t="s">
        <v>446</v>
      </c>
      <c r="E236" s="201"/>
      <c r="F236" s="10">
        <f>Input!D102</f>
        <v>0</v>
      </c>
      <c r="G236" s="4"/>
      <c r="H236" s="193">
        <f>IF(F236&gt;0,C235+(C236*F236),0)</f>
        <v>0</v>
      </c>
      <c r="I236" s="195" t="s">
        <v>354</v>
      </c>
      <c r="J236" s="10"/>
      <c r="K236" s="10"/>
      <c r="L236" s="10"/>
      <c r="M236" s="10"/>
      <c r="N236" s="10"/>
      <c r="O236" s="10"/>
      <c r="P236" s="10"/>
    </row>
    <row r="237" spans="1:16" ht="12" customHeight="1" x14ac:dyDescent="0.2">
      <c r="A237" s="123"/>
      <c r="B237" s="193"/>
      <c r="C237" s="180"/>
      <c r="D237" s="4"/>
      <c r="E237" s="4"/>
      <c r="F237" s="10"/>
      <c r="G237" s="10"/>
      <c r="H237" s="193"/>
      <c r="I237" s="195"/>
      <c r="J237" s="10"/>
      <c r="K237" s="10"/>
      <c r="L237" s="10"/>
      <c r="M237" s="10"/>
      <c r="N237" s="10"/>
      <c r="O237" s="10"/>
      <c r="P237" s="10"/>
    </row>
    <row r="238" spans="1:16" ht="12" customHeight="1" x14ac:dyDescent="0.2">
      <c r="A238" s="200" t="s">
        <v>447</v>
      </c>
      <c r="B238" s="193"/>
      <c r="C238" s="4"/>
      <c r="D238" s="4"/>
      <c r="E238" s="4"/>
      <c r="F238" s="10" t="s">
        <v>338</v>
      </c>
      <c r="G238" s="10"/>
      <c r="H238" s="202"/>
      <c r="I238" s="195"/>
      <c r="J238" s="10"/>
      <c r="K238" s="10"/>
      <c r="L238" s="10"/>
      <c r="M238" s="10"/>
      <c r="N238" s="10"/>
      <c r="O238" s="10"/>
      <c r="P238" s="10"/>
    </row>
    <row r="239" spans="1:16" ht="12" customHeight="1" x14ac:dyDescent="0.2">
      <c r="A239" s="123" t="s">
        <v>448</v>
      </c>
      <c r="B239" s="193">
        <f>((Input!D104*Input!F104)+(Input!D105*Input!F105)+(Input!D106*Input!F106)+(Input!D107*Input!F107)+(Input!D108*Input!F108))/43560</f>
        <v>0</v>
      </c>
      <c r="C239" s="4">
        <v>30</v>
      </c>
      <c r="D239" s="4" t="s">
        <v>340</v>
      </c>
      <c r="E239" s="4"/>
      <c r="F239" s="10">
        <f>((Input!D104*Input!F104*Input!H104/12)+(Input!D105*Input!F105*Input!H105/12)+(Input!D106*Input!F106*Input!H106/12)+(Input!D107*Input!F107*Input!H107/12)+(Input!D108*Input!F108*Input!H108/12))/27</f>
        <v>0</v>
      </c>
      <c r="G239" s="10"/>
      <c r="H239" s="203">
        <f>F239/C239</f>
        <v>0</v>
      </c>
      <c r="I239" s="195" t="s">
        <v>333</v>
      </c>
      <c r="J239" s="4"/>
    </row>
    <row r="240" spans="1:16" ht="12" customHeight="1" x14ac:dyDescent="0.2">
      <c r="A240" s="123" t="s">
        <v>449</v>
      </c>
      <c r="B240" s="4"/>
      <c r="C240" s="4"/>
      <c r="D240" s="4"/>
      <c r="E240" s="4"/>
      <c r="F240" s="10"/>
      <c r="G240" s="10"/>
      <c r="H240" s="203"/>
      <c r="I240" s="195"/>
      <c r="J240" s="4"/>
    </row>
    <row r="241" spans="1:16" ht="12" customHeight="1" x14ac:dyDescent="0.2">
      <c r="A241" s="123" t="s">
        <v>450</v>
      </c>
      <c r="B241" s="193">
        <f>((Input!D110*Input!F110)+(Input!D111*Input!F111)+(Input!D112*Input!F112)+(Input!D113*Input!F113)+(Input!D114*Input!F114))/43560</f>
        <v>0</v>
      </c>
      <c r="C241" s="4">
        <v>20</v>
      </c>
      <c r="D241" s="4" t="s">
        <v>340</v>
      </c>
      <c r="E241" s="4"/>
      <c r="F241" s="10">
        <f>((Input!D110*Input!F110*Input!H110/12)+(Input!D111*Input!F111*Input!H111/12)+(Input!D112*Input!F112*Input!H112/12)+(Input!D113*Input!F113*Input!H113/12)+(Input!D114*Input!F114*Input!H114/12))/27</f>
        <v>0</v>
      </c>
      <c r="G241" s="10"/>
      <c r="H241" s="203">
        <f>F241/C241</f>
        <v>0</v>
      </c>
      <c r="I241" s="195" t="s">
        <v>333</v>
      </c>
      <c r="J241" s="4"/>
    </row>
    <row r="242" spans="1:16" ht="12" customHeight="1" x14ac:dyDescent="0.2">
      <c r="A242" s="123" t="s">
        <v>449</v>
      </c>
      <c r="B242" s="193"/>
      <c r="C242" s="4"/>
      <c r="D242" s="4"/>
      <c r="E242" s="4"/>
      <c r="F242" s="10"/>
      <c r="G242" s="10"/>
      <c r="H242" s="203"/>
      <c r="I242" s="195"/>
      <c r="J242" s="4"/>
    </row>
    <row r="243" spans="1:16" ht="12" customHeight="1" x14ac:dyDescent="0.2">
      <c r="A243" s="123" t="s">
        <v>451</v>
      </c>
      <c r="B243" s="193"/>
      <c r="C243" s="4">
        <v>15</v>
      </c>
      <c r="D243" s="4" t="s">
        <v>340</v>
      </c>
      <c r="E243" s="4"/>
      <c r="F243" s="10">
        <f>Input!D116</f>
        <v>0</v>
      </c>
      <c r="G243" s="10"/>
      <c r="H243" s="203">
        <f>F243/C243</f>
        <v>0</v>
      </c>
      <c r="I243" s="195" t="s">
        <v>333</v>
      </c>
      <c r="J243" s="10"/>
      <c r="K243" s="10"/>
      <c r="L243" s="10"/>
      <c r="M243" s="10"/>
      <c r="N243" s="10"/>
      <c r="O243" s="10"/>
      <c r="P243" s="10"/>
    </row>
    <row r="244" spans="1:16" ht="12" customHeight="1" x14ac:dyDescent="0.2">
      <c r="A244" s="123" t="s">
        <v>449</v>
      </c>
      <c r="B244" s="193"/>
      <c r="C244" s="4"/>
      <c r="D244" s="4"/>
      <c r="E244" s="4"/>
      <c r="F244" s="10"/>
      <c r="G244" s="10"/>
      <c r="H244" s="203"/>
      <c r="I244" s="195"/>
      <c r="J244" s="10"/>
      <c r="K244" s="10"/>
      <c r="L244" s="10"/>
      <c r="M244" s="10"/>
      <c r="N244" s="10"/>
      <c r="O244" s="10"/>
      <c r="P244" s="10"/>
    </row>
    <row r="245" spans="1:16" ht="12" customHeight="1" x14ac:dyDescent="0.2">
      <c r="A245" s="123" t="s">
        <v>452</v>
      </c>
      <c r="B245" s="193"/>
      <c r="C245" s="10">
        <v>100</v>
      </c>
      <c r="D245" s="4" t="s">
        <v>340</v>
      </c>
      <c r="E245" s="4"/>
      <c r="F245" s="10">
        <f>(F239+F241+F243)*1.6</f>
        <v>0</v>
      </c>
      <c r="G245" s="10"/>
      <c r="H245" s="203">
        <f>F245/C245</f>
        <v>0</v>
      </c>
      <c r="I245" s="195" t="s">
        <v>333</v>
      </c>
      <c r="J245" s="10"/>
      <c r="K245" s="10"/>
      <c r="L245" s="10"/>
      <c r="M245" s="10"/>
      <c r="N245" s="10"/>
      <c r="O245" s="10"/>
      <c r="P245" s="10"/>
    </row>
    <row r="246" spans="1:16" ht="12" customHeight="1" x14ac:dyDescent="0.2">
      <c r="A246" s="123" t="s">
        <v>453</v>
      </c>
      <c r="B246" s="193"/>
      <c r="C246" s="10">
        <v>150</v>
      </c>
      <c r="D246" s="4" t="s">
        <v>340</v>
      </c>
      <c r="E246" s="4"/>
      <c r="F246" s="10">
        <f>F245</f>
        <v>0</v>
      </c>
      <c r="G246" s="10"/>
      <c r="H246" s="204">
        <f>F246/C246</f>
        <v>0</v>
      </c>
      <c r="I246" s="195" t="s">
        <v>454</v>
      </c>
      <c r="J246" s="10"/>
      <c r="K246" s="10"/>
      <c r="L246" s="10"/>
      <c r="M246" s="10"/>
      <c r="N246" s="10"/>
      <c r="O246" s="10"/>
      <c r="P246" s="10"/>
    </row>
    <row r="247" spans="1:16" ht="12" customHeight="1" x14ac:dyDescent="0.2">
      <c r="A247" s="15"/>
      <c r="B247" s="4"/>
      <c r="C247" s="4"/>
      <c r="D247" s="4"/>
      <c r="E247" s="4"/>
      <c r="F247" s="4" t="s">
        <v>269</v>
      </c>
      <c r="G247" s="4"/>
      <c r="H247" s="193">
        <f>SUM(H239:H246)</f>
        <v>0</v>
      </c>
      <c r="I247" s="195" t="s">
        <v>388</v>
      </c>
      <c r="J247" s="10"/>
      <c r="K247" s="10"/>
      <c r="L247" s="10"/>
      <c r="M247" s="10"/>
      <c r="N247" s="10"/>
      <c r="O247" s="10"/>
      <c r="P247" s="10"/>
    </row>
    <row r="248" spans="1:16" ht="12" customHeight="1" x14ac:dyDescent="0.2">
      <c r="A248" s="15" t="s">
        <v>455</v>
      </c>
      <c r="B248" s="4"/>
      <c r="C248" s="4"/>
      <c r="D248" s="4"/>
      <c r="E248" s="4"/>
      <c r="F248" s="4"/>
      <c r="G248" s="4"/>
      <c r="H248" s="193">
        <f>H239+H241+H243</f>
        <v>0</v>
      </c>
      <c r="I248" s="195" t="s">
        <v>456</v>
      </c>
      <c r="J248" s="10"/>
      <c r="K248" s="10"/>
      <c r="L248" s="10"/>
      <c r="M248" s="10"/>
      <c r="N248" s="10"/>
      <c r="O248" s="10"/>
      <c r="P248" s="10"/>
    </row>
    <row r="249" spans="1:16" ht="12" customHeight="1" x14ac:dyDescent="0.2">
      <c r="A249" s="123" t="s">
        <v>457</v>
      </c>
      <c r="B249" s="193"/>
      <c r="C249" s="205">
        <v>20</v>
      </c>
      <c r="D249" s="4" t="s">
        <v>390</v>
      </c>
      <c r="E249" s="4"/>
      <c r="F249" s="10">
        <f>Input!D110+Input!D116</f>
        <v>0</v>
      </c>
      <c r="G249" s="10"/>
      <c r="H249" s="193">
        <f>F249*C249</f>
        <v>0</v>
      </c>
      <c r="I249" s="195" t="s">
        <v>354</v>
      </c>
      <c r="J249" s="10"/>
      <c r="K249" s="10"/>
      <c r="L249" s="10"/>
      <c r="M249" s="10"/>
      <c r="N249" s="10"/>
      <c r="O249" s="10"/>
      <c r="P249" s="10"/>
    </row>
    <row r="250" spans="1:16" ht="12" customHeight="1" x14ac:dyDescent="0.2">
      <c r="A250" s="123" t="s">
        <v>458</v>
      </c>
      <c r="B250" s="193"/>
      <c r="C250" s="181"/>
      <c r="D250" s="4"/>
      <c r="E250" s="4"/>
      <c r="F250" s="10"/>
      <c r="G250" s="10"/>
      <c r="H250" s="193">
        <f>(H239+H241+H243)*E95</f>
        <v>0</v>
      </c>
      <c r="I250" s="195" t="s">
        <v>354</v>
      </c>
      <c r="J250" s="10"/>
      <c r="K250" s="10"/>
      <c r="L250" s="10"/>
      <c r="M250" s="10"/>
      <c r="N250" s="10"/>
      <c r="O250" s="10"/>
      <c r="P250" s="10"/>
    </row>
    <row r="251" spans="1:16" ht="12" customHeight="1" x14ac:dyDescent="0.2">
      <c r="A251" s="15"/>
      <c r="B251" s="193"/>
      <c r="C251" s="4"/>
      <c r="D251" s="4"/>
      <c r="E251" s="4"/>
      <c r="F251" s="4" t="s">
        <v>353</v>
      </c>
      <c r="G251" s="10"/>
      <c r="H251" s="193"/>
      <c r="I251" s="195"/>
      <c r="J251" s="10"/>
      <c r="K251" s="10"/>
      <c r="L251" s="10"/>
      <c r="M251" s="10"/>
      <c r="N251" s="10"/>
      <c r="O251" s="10"/>
      <c r="P251" s="10"/>
    </row>
    <row r="252" spans="1:16" ht="12" customHeight="1" x14ac:dyDescent="0.2">
      <c r="A252" s="123" t="s">
        <v>459</v>
      </c>
      <c r="B252" s="193"/>
      <c r="C252" s="193">
        <f>B101</f>
        <v>0.21250000000000002</v>
      </c>
      <c r="D252" s="4" t="s">
        <v>460</v>
      </c>
      <c r="E252" s="4"/>
      <c r="F252" s="10">
        <f>F246*2</f>
        <v>0</v>
      </c>
      <c r="G252" s="10"/>
      <c r="H252" s="193">
        <f>F252*Input!D165*C252</f>
        <v>0</v>
      </c>
      <c r="I252" s="195" t="s">
        <v>354</v>
      </c>
      <c r="J252" s="10"/>
      <c r="K252" s="10"/>
      <c r="L252" s="10"/>
      <c r="M252" s="10"/>
      <c r="N252" s="10"/>
      <c r="O252" s="10"/>
    </row>
    <row r="253" spans="1:16" ht="12" customHeight="1" x14ac:dyDescent="0.2">
      <c r="A253" s="123" t="s">
        <v>355</v>
      </c>
      <c r="B253" s="193"/>
      <c r="C253" s="180">
        <f>B105</f>
        <v>45.8</v>
      </c>
      <c r="D253" s="4" t="s">
        <v>461</v>
      </c>
      <c r="E253" s="4"/>
      <c r="F253" s="10">
        <f>F252</f>
        <v>0</v>
      </c>
      <c r="G253" s="10"/>
      <c r="H253" s="193">
        <f>F253*C253</f>
        <v>0</v>
      </c>
      <c r="I253" s="195" t="s">
        <v>354</v>
      </c>
      <c r="J253" s="10"/>
      <c r="K253" s="10"/>
      <c r="L253" s="10"/>
      <c r="M253" s="10"/>
      <c r="N253" s="10"/>
      <c r="O253" s="10"/>
    </row>
    <row r="254" spans="1:16" ht="12" customHeight="1" x14ac:dyDescent="0.2">
      <c r="A254" s="15"/>
      <c r="B254" s="193"/>
      <c r="C254" s="4"/>
      <c r="D254" s="4"/>
      <c r="E254" s="4"/>
      <c r="F254" s="10"/>
      <c r="G254" s="10"/>
      <c r="H254" s="193"/>
      <c r="I254" s="195"/>
      <c r="J254" s="10"/>
      <c r="K254" s="10"/>
      <c r="L254" s="10"/>
      <c r="M254" s="10"/>
      <c r="N254" s="10"/>
      <c r="O254" s="10"/>
      <c r="P254" s="10"/>
    </row>
    <row r="255" spans="1:16" ht="12" customHeight="1" x14ac:dyDescent="0.2">
      <c r="A255" s="200" t="s">
        <v>462</v>
      </c>
      <c r="B255" s="193">
        <f>Input!D118/43560</f>
        <v>0</v>
      </c>
      <c r="C255" s="4"/>
      <c r="D255" s="4"/>
      <c r="E255" s="4"/>
      <c r="F255" s="10" t="s">
        <v>285</v>
      </c>
      <c r="G255" s="10"/>
      <c r="H255" s="193"/>
      <c r="I255" s="195"/>
      <c r="J255" s="10"/>
      <c r="K255" s="10"/>
      <c r="L255" s="10"/>
      <c r="M255" s="10"/>
      <c r="N255" s="10"/>
      <c r="O255" s="10"/>
      <c r="P255" s="10"/>
    </row>
    <row r="256" spans="1:16" ht="12" customHeight="1" x14ac:dyDescent="0.2">
      <c r="A256" s="123" t="s">
        <v>463</v>
      </c>
      <c r="B256" s="193"/>
      <c r="C256" s="4">
        <v>280</v>
      </c>
      <c r="D256" s="4" t="s">
        <v>464</v>
      </c>
      <c r="E256" s="4"/>
      <c r="F256" s="10">
        <f>(Input!D118*Input!F118/12)/27</f>
        <v>0</v>
      </c>
      <c r="G256" s="10"/>
      <c r="H256" s="193">
        <f>F256/$C$256</f>
        <v>0</v>
      </c>
      <c r="I256" s="195" t="s">
        <v>333</v>
      </c>
      <c r="J256" s="10"/>
      <c r="K256" s="10"/>
      <c r="L256" s="10"/>
      <c r="M256" s="10"/>
      <c r="N256" s="10"/>
      <c r="O256" s="10"/>
      <c r="P256" s="10"/>
    </row>
    <row r="257" spans="1:16" ht="12" customHeight="1" x14ac:dyDescent="0.2">
      <c r="A257" s="123" t="s">
        <v>465</v>
      </c>
      <c r="B257" s="193"/>
      <c r="C257" s="194">
        <v>200</v>
      </c>
      <c r="D257" s="4" t="s">
        <v>340</v>
      </c>
      <c r="E257" s="4"/>
      <c r="F257" s="10">
        <f>F256</f>
        <v>0</v>
      </c>
      <c r="G257" s="10"/>
      <c r="H257" s="193">
        <f>F257/C257</f>
        <v>0</v>
      </c>
      <c r="I257" s="195" t="s">
        <v>333</v>
      </c>
      <c r="J257" s="10"/>
      <c r="K257" s="10"/>
      <c r="L257" s="10"/>
      <c r="M257" s="10"/>
      <c r="N257" s="10"/>
      <c r="O257" s="10"/>
      <c r="P257" s="10"/>
    </row>
    <row r="258" spans="1:16" ht="12" customHeight="1" x14ac:dyDescent="0.2">
      <c r="A258" s="123"/>
      <c r="B258" s="193"/>
      <c r="C258" s="194"/>
      <c r="D258" s="4"/>
      <c r="E258" s="4"/>
      <c r="F258" s="10" t="s">
        <v>353</v>
      </c>
      <c r="G258" s="10"/>
      <c r="H258" s="193"/>
      <c r="I258" s="195"/>
      <c r="J258" s="10"/>
      <c r="K258" s="10"/>
      <c r="L258" s="10"/>
      <c r="M258" s="10"/>
      <c r="N258" s="10"/>
      <c r="O258" s="10"/>
      <c r="P258" s="10"/>
    </row>
    <row r="259" spans="1:16" ht="12" customHeight="1" x14ac:dyDescent="0.2">
      <c r="A259" s="123" t="s">
        <v>351</v>
      </c>
      <c r="B259" s="193"/>
      <c r="C259" s="180">
        <f>B101</f>
        <v>0.21250000000000002</v>
      </c>
      <c r="D259" s="4" t="s">
        <v>460</v>
      </c>
      <c r="E259" s="4"/>
      <c r="F259" s="10">
        <f>F256*2700/2000</f>
        <v>0</v>
      </c>
      <c r="G259" s="10"/>
      <c r="H259" s="193">
        <f>F259*C259*Input!D165</f>
        <v>0</v>
      </c>
      <c r="I259" s="195" t="s">
        <v>354</v>
      </c>
      <c r="J259" s="10"/>
      <c r="K259" s="10"/>
      <c r="L259" s="10"/>
      <c r="M259" s="10"/>
      <c r="N259" s="10"/>
      <c r="O259" s="10"/>
    </row>
    <row r="260" spans="1:16" ht="12" customHeight="1" x14ac:dyDescent="0.2">
      <c r="A260" s="123" t="s">
        <v>355</v>
      </c>
      <c r="B260" s="193"/>
      <c r="C260" s="180">
        <f>B105</f>
        <v>45.8</v>
      </c>
      <c r="D260" s="4" t="s">
        <v>461</v>
      </c>
      <c r="E260" s="4"/>
      <c r="F260" s="10">
        <f>F259</f>
        <v>0</v>
      </c>
      <c r="G260" s="10"/>
      <c r="H260" s="193">
        <f>F260*C260</f>
        <v>0</v>
      </c>
      <c r="I260" s="195" t="s">
        <v>354</v>
      </c>
      <c r="J260" s="10"/>
      <c r="K260" s="10"/>
      <c r="L260" s="10"/>
      <c r="M260" s="10"/>
      <c r="N260" s="10"/>
      <c r="O260" s="10"/>
    </row>
    <row r="261" spans="1:16" ht="12" customHeight="1" x14ac:dyDescent="0.2">
      <c r="A261" s="15"/>
      <c r="B261" s="193"/>
      <c r="C261" s="4"/>
      <c r="D261" s="4"/>
      <c r="E261" s="4"/>
      <c r="F261" s="10"/>
      <c r="G261" s="10"/>
      <c r="H261" s="199"/>
      <c r="I261" s="192"/>
      <c r="J261" s="4"/>
    </row>
    <row r="262" spans="1:16" ht="12" customHeight="1" x14ac:dyDescent="0.2">
      <c r="A262" s="200" t="s">
        <v>92</v>
      </c>
      <c r="B262" s="193">
        <f>(Input!D120*Input!F120+Input!D122*Input!F122+Input!D124*Input!F124)/43560</f>
        <v>0</v>
      </c>
      <c r="C262" s="4"/>
      <c r="D262" s="4"/>
      <c r="E262" s="10" t="s">
        <v>466</v>
      </c>
      <c r="F262" s="4" t="s">
        <v>467</v>
      </c>
      <c r="G262" s="10" t="s">
        <v>468</v>
      </c>
      <c r="H262" s="193"/>
      <c r="I262" s="195"/>
      <c r="J262" s="10"/>
      <c r="K262" s="10"/>
      <c r="L262" s="10"/>
      <c r="M262" s="10"/>
      <c r="N262" s="10"/>
      <c r="O262" s="10"/>
      <c r="P262" s="10"/>
    </row>
    <row r="263" spans="1:16" ht="12" customHeight="1" x14ac:dyDescent="0.2">
      <c r="A263" s="123" t="s">
        <v>469</v>
      </c>
      <c r="B263" s="193"/>
      <c r="C263" s="4"/>
      <c r="D263" s="4"/>
      <c r="E263" s="4">
        <f>IF(Input!D120*Input!F120*Input!H120&gt;9999,IF(Input!D121="x", Input!D120*Input!F120*Input!H120,0),0)</f>
        <v>0</v>
      </c>
      <c r="F263" s="4">
        <f>IF(Input!D122*Input!F122*Input!H122&gt;9999,IF(Input!D123="x", Input!D122*Input!F122*Input!H122,0),0)</f>
        <v>0</v>
      </c>
      <c r="G263" s="4">
        <f>IF(Input!D124*Input!F124*Input!H124&gt;9999,IF(Input!D125="x", Input!D124*Input!F124*Input!H124,0),0)</f>
        <v>0</v>
      </c>
      <c r="H263" s="193"/>
      <c r="I263" s="195"/>
      <c r="J263" s="10"/>
      <c r="K263" s="10"/>
      <c r="L263" s="10"/>
      <c r="M263" s="10"/>
      <c r="N263" s="10"/>
      <c r="O263" s="10"/>
      <c r="P263" s="10"/>
    </row>
    <row r="264" spans="1:16" ht="12" customHeight="1" x14ac:dyDescent="0.2">
      <c r="A264" s="123"/>
      <c r="B264" s="193"/>
      <c r="C264" s="4"/>
      <c r="D264" s="4"/>
      <c r="E264" s="4" t="s">
        <v>470</v>
      </c>
      <c r="F264" s="4" t="s">
        <v>471</v>
      </c>
      <c r="G264" s="4" t="s">
        <v>472</v>
      </c>
      <c r="H264" s="193"/>
      <c r="I264" s="195"/>
      <c r="J264" s="10"/>
      <c r="K264" s="10"/>
      <c r="L264" s="10"/>
      <c r="M264" s="10"/>
      <c r="N264" s="10"/>
      <c r="O264" s="10"/>
      <c r="P264" s="10"/>
    </row>
    <row r="265" spans="1:16" ht="12" customHeight="1" x14ac:dyDescent="0.2">
      <c r="A265" s="123"/>
      <c r="B265" s="193"/>
      <c r="C265" s="4"/>
      <c r="D265" s="4"/>
      <c r="E265" s="4">
        <f>IF(Input!D126*Input!F126*Input!H126&gt;9999,IF(Input!D127="x", Input!D126*Input!F126*Input!H126,0),0)</f>
        <v>0</v>
      </c>
      <c r="F265" s="4">
        <f>IF(Input!D128*Input!F128*Input!H128&gt;9999,IF(Input!D129="x", Input!D128*Input!F128*Input!H128,0),0)</f>
        <v>0</v>
      </c>
      <c r="G265" s="4">
        <f>E263+F263+G263+E265+F265</f>
        <v>0</v>
      </c>
      <c r="H265" s="193"/>
      <c r="I265" s="195"/>
      <c r="J265" s="10"/>
      <c r="K265" s="10"/>
      <c r="L265" s="10"/>
      <c r="M265" s="10"/>
      <c r="N265" s="10"/>
      <c r="O265" s="10"/>
      <c r="P265" s="10"/>
    </row>
    <row r="266" spans="1:16" ht="12" customHeight="1" x14ac:dyDescent="0.2">
      <c r="A266" s="123" t="s">
        <v>473</v>
      </c>
      <c r="B266" s="193"/>
      <c r="C266" s="4">
        <v>0.4</v>
      </c>
      <c r="D266" s="4" t="s">
        <v>474</v>
      </c>
      <c r="E266" s="4"/>
      <c r="F266" s="10"/>
      <c r="G266" s="10"/>
      <c r="H266" s="193">
        <f>ROUNDUP(G265*C266/1000,0)</f>
        <v>0</v>
      </c>
      <c r="I266" s="195" t="s">
        <v>333</v>
      </c>
      <c r="J266" s="4"/>
    </row>
    <row r="267" spans="1:16" ht="12" customHeight="1" x14ac:dyDescent="0.2">
      <c r="A267" s="123" t="s">
        <v>475</v>
      </c>
      <c r="B267" s="193"/>
      <c r="C267" s="4">
        <v>0.4</v>
      </c>
      <c r="D267" s="4" t="s">
        <v>474</v>
      </c>
      <c r="E267" s="4"/>
      <c r="F267" s="10"/>
      <c r="G267" s="10"/>
      <c r="H267" s="193">
        <f>ROUNDUP(G265*C267/1000,0)</f>
        <v>0</v>
      </c>
      <c r="I267" s="195" t="s">
        <v>333</v>
      </c>
      <c r="J267" s="4"/>
    </row>
    <row r="268" spans="1:16" ht="12" customHeight="1" x14ac:dyDescent="0.2">
      <c r="A268" s="123" t="s">
        <v>476</v>
      </c>
      <c r="B268" s="193"/>
      <c r="C268" s="4">
        <v>0.8</v>
      </c>
      <c r="D268" s="4" t="s">
        <v>474</v>
      </c>
      <c r="E268" s="4"/>
      <c r="F268" s="10"/>
      <c r="G268" s="10"/>
      <c r="H268" s="193">
        <f>ROUNDUP(G265*C268/1000,0)*E94</f>
        <v>0</v>
      </c>
      <c r="I268" s="195" t="s">
        <v>354</v>
      </c>
      <c r="J268" s="10"/>
      <c r="K268" s="10"/>
      <c r="L268" s="10"/>
      <c r="M268" s="10"/>
      <c r="N268" s="10"/>
      <c r="O268" s="10"/>
      <c r="P268" s="10" t="e">
        <f>#REF!*Calculations!E94</f>
        <v>#REF!</v>
      </c>
    </row>
    <row r="269" spans="1:16" ht="12" customHeight="1" x14ac:dyDescent="0.2">
      <c r="A269" s="15" t="s">
        <v>477</v>
      </c>
      <c r="B269" s="193"/>
      <c r="C269" s="4">
        <v>0.2</v>
      </c>
      <c r="D269" s="4" t="s">
        <v>474</v>
      </c>
      <c r="E269" s="4"/>
      <c r="F269" s="4"/>
      <c r="G269" s="4"/>
      <c r="H269" s="193"/>
      <c r="I269" s="195"/>
      <c r="J269" s="10"/>
      <c r="K269" s="10"/>
      <c r="L269" s="10"/>
      <c r="M269" s="10"/>
      <c r="N269" s="10"/>
      <c r="O269" s="10"/>
      <c r="P269" s="10"/>
    </row>
    <row r="270" spans="1:16" ht="12" customHeight="1" x14ac:dyDescent="0.2">
      <c r="A270" s="15"/>
      <c r="B270" s="193"/>
      <c r="C270" s="4"/>
      <c r="D270" s="4"/>
      <c r="E270" s="10" t="s">
        <v>466</v>
      </c>
      <c r="F270" s="4" t="s">
        <v>467</v>
      </c>
      <c r="G270" s="10" t="s">
        <v>468</v>
      </c>
      <c r="H270" s="193"/>
      <c r="I270" s="195"/>
      <c r="J270" s="10"/>
      <c r="K270" s="10"/>
      <c r="L270" s="10"/>
      <c r="M270" s="10"/>
      <c r="N270" s="10"/>
      <c r="O270" s="10"/>
      <c r="P270" s="10"/>
    </row>
    <row r="271" spans="1:16" ht="12" customHeight="1" x14ac:dyDescent="0.2">
      <c r="A271" s="15"/>
      <c r="B271" s="193"/>
      <c r="C271" s="4"/>
      <c r="D271" s="4"/>
      <c r="E271" s="4">
        <f>IF(Input!$D$120*Input!$F$120*Input!$H$120&lt;9999,IF(Input!$D$121="x",Input!D120*Input!F120*Input!H120,0),0)</f>
        <v>0</v>
      </c>
      <c r="F271" s="4">
        <f>IF(Input!$D$122*Input!$F$122*Input!$H$122&lt;9999,IF(Input!$D$123="x",Input!D122*Input!F122*Input!H122,0),0)</f>
        <v>0</v>
      </c>
      <c r="G271" s="4">
        <f>IF(Input!$D$124*Input!$F$124*Input!$H$124&lt;9999,IF(Input!$D$125="x",Input!D124*Input!F124*Input!H124,0),0)</f>
        <v>0</v>
      </c>
      <c r="H271" s="193"/>
      <c r="I271" s="195"/>
      <c r="J271" s="10"/>
      <c r="K271" s="10"/>
      <c r="L271" s="10"/>
      <c r="M271" s="10"/>
      <c r="N271" s="10"/>
      <c r="O271" s="10"/>
      <c r="P271" s="10"/>
    </row>
    <row r="272" spans="1:16" ht="12" customHeight="1" x14ac:dyDescent="0.2">
      <c r="A272" s="15"/>
      <c r="B272" s="193"/>
      <c r="C272" s="4"/>
      <c r="D272" s="4"/>
      <c r="E272" s="4" t="s">
        <v>470</v>
      </c>
      <c r="F272" s="4" t="s">
        <v>471</v>
      </c>
      <c r="G272" s="4" t="s">
        <v>472</v>
      </c>
      <c r="H272" s="193"/>
      <c r="I272" s="195"/>
      <c r="J272" s="10"/>
      <c r="K272" s="10"/>
      <c r="L272" s="10"/>
      <c r="M272" s="10"/>
      <c r="N272" s="10"/>
      <c r="O272" s="10"/>
      <c r="P272" s="10"/>
    </row>
    <row r="273" spans="1:16" ht="12" customHeight="1" x14ac:dyDescent="0.2">
      <c r="A273" s="15"/>
      <c r="B273" s="193"/>
      <c r="C273" s="4"/>
      <c r="D273" s="4"/>
      <c r="E273" s="4">
        <f>IF(Input!$D$126*Input!$F$126*Input!$H$126&lt;9999,IF(Input!$D$127="x",Input!D126*Input!F126*Input!H126,0),0)</f>
        <v>0</v>
      </c>
      <c r="F273" s="4">
        <f>IF(Input!$D$128*Input!$F$128*Input!$H$128&lt;9999,IF(Input!$D$129="x",Input!D128*Input!F128*Input!H128,0),0)</f>
        <v>0</v>
      </c>
      <c r="G273" s="10">
        <f>E271+F271+G271+E273+F273</f>
        <v>0</v>
      </c>
      <c r="H273" s="193">
        <f>G273*C269/1000</f>
        <v>0</v>
      </c>
      <c r="I273" s="195" t="s">
        <v>333</v>
      </c>
      <c r="J273" s="10"/>
      <c r="K273" s="10"/>
      <c r="L273" s="10"/>
      <c r="M273" s="10"/>
      <c r="N273" s="10"/>
      <c r="O273" s="10"/>
      <c r="P273" s="10"/>
    </row>
    <row r="274" spans="1:16" ht="12" customHeight="1" x14ac:dyDescent="0.2">
      <c r="A274" s="123" t="s">
        <v>478</v>
      </c>
      <c r="B274" s="193"/>
      <c r="C274" s="4">
        <v>0.25</v>
      </c>
      <c r="D274" s="4" t="s">
        <v>474</v>
      </c>
      <c r="E274" s="4"/>
      <c r="F274" s="4"/>
      <c r="G274" s="4"/>
      <c r="H274" s="193"/>
      <c r="I274" s="195"/>
      <c r="J274" s="10"/>
      <c r="K274" s="10"/>
      <c r="L274" s="10"/>
      <c r="M274" s="10"/>
      <c r="N274" s="10"/>
      <c r="O274" s="10"/>
      <c r="P274" s="10"/>
    </row>
    <row r="275" spans="1:16" ht="12" customHeight="1" x14ac:dyDescent="0.2">
      <c r="A275" s="123"/>
      <c r="B275" s="193"/>
      <c r="C275" s="4"/>
      <c r="D275" s="4"/>
      <c r="E275" s="10" t="s">
        <v>466</v>
      </c>
      <c r="F275" s="4" t="s">
        <v>467</v>
      </c>
      <c r="G275" s="10" t="s">
        <v>468</v>
      </c>
      <c r="H275" s="193"/>
      <c r="I275" s="195"/>
      <c r="J275" s="10"/>
      <c r="K275" s="10"/>
      <c r="L275" s="10"/>
      <c r="M275" s="10"/>
      <c r="N275" s="10"/>
      <c r="O275" s="10"/>
      <c r="P275" s="10"/>
    </row>
    <row r="276" spans="1:16" ht="12" customHeight="1" x14ac:dyDescent="0.2">
      <c r="A276" s="123"/>
      <c r="B276" s="193"/>
      <c r="C276" s="4"/>
      <c r="D276" s="4"/>
      <c r="E276" s="4">
        <f>IF(Input!$F$121="x",Input!$D$120*Input!$F$120*Input!$H$120,0)</f>
        <v>0</v>
      </c>
      <c r="F276" s="4">
        <f>IF(Input!$F123="x",Input!D122*Input!F122*Input!H122,0)</f>
        <v>0</v>
      </c>
      <c r="G276" s="4">
        <f>IF(Input!$F$125="x",Input!$D$124*Input!$F$124*Input!$H$124,0)</f>
        <v>0</v>
      </c>
      <c r="H276" s="193"/>
      <c r="I276" s="195"/>
      <c r="J276" s="10"/>
      <c r="K276" s="10"/>
      <c r="L276" s="10"/>
      <c r="M276" s="10"/>
      <c r="N276" s="10"/>
      <c r="O276" s="10"/>
      <c r="P276" s="10"/>
    </row>
    <row r="277" spans="1:16" ht="12" customHeight="1" x14ac:dyDescent="0.2">
      <c r="A277" s="123"/>
      <c r="B277" s="193"/>
      <c r="C277" s="4"/>
      <c r="D277" s="4"/>
      <c r="E277" s="4" t="s">
        <v>470</v>
      </c>
      <c r="F277" s="4" t="s">
        <v>471</v>
      </c>
      <c r="G277" s="4" t="s">
        <v>472</v>
      </c>
      <c r="H277" s="193"/>
      <c r="I277" s="195"/>
      <c r="J277" s="10"/>
      <c r="K277" s="10"/>
      <c r="L277" s="10"/>
      <c r="M277" s="10"/>
      <c r="N277" s="10"/>
      <c r="O277" s="10"/>
      <c r="P277" s="10"/>
    </row>
    <row r="278" spans="1:16" ht="12" customHeight="1" x14ac:dyDescent="0.2">
      <c r="A278" s="123"/>
      <c r="B278" s="193"/>
      <c r="C278" s="4"/>
      <c r="D278" s="4"/>
      <c r="E278" s="4">
        <f>IF(Input!$F$127="x",Input!$D$126*Input!$F$126*Input!$H$126,0)</f>
        <v>0</v>
      </c>
      <c r="F278" s="4">
        <f>IF(Input!F129="x",Input!D128*Input!F128*Input!H128,0)</f>
        <v>0</v>
      </c>
      <c r="G278" s="10">
        <f>E276+F276+G276+E278+F278</f>
        <v>0</v>
      </c>
      <c r="H278" s="193">
        <f>G278*C274/1000</f>
        <v>0</v>
      </c>
      <c r="I278" s="195" t="s">
        <v>333</v>
      </c>
      <c r="J278" s="10"/>
      <c r="K278" s="10"/>
      <c r="L278" s="10"/>
      <c r="M278" s="10"/>
      <c r="N278" s="10"/>
      <c r="O278" s="10"/>
      <c r="P278" s="10"/>
    </row>
    <row r="279" spans="1:16" ht="12" customHeight="1" x14ac:dyDescent="0.2">
      <c r="A279" s="123" t="s">
        <v>479</v>
      </c>
      <c r="B279" s="193"/>
      <c r="C279" s="4">
        <v>0.2</v>
      </c>
      <c r="D279" s="4" t="s">
        <v>474</v>
      </c>
      <c r="E279" s="4"/>
      <c r="F279" s="4"/>
      <c r="G279" s="4"/>
      <c r="H279" s="193"/>
      <c r="I279" s="164"/>
      <c r="J279" s="10"/>
      <c r="K279" s="10"/>
      <c r="L279" s="10"/>
      <c r="M279" s="10"/>
      <c r="N279" s="10"/>
      <c r="O279" s="10"/>
      <c r="P279" s="10"/>
    </row>
    <row r="280" spans="1:16" ht="12" customHeight="1" x14ac:dyDescent="0.2">
      <c r="A280" s="123"/>
      <c r="B280" s="193"/>
      <c r="C280" s="4"/>
      <c r="D280" s="4"/>
      <c r="E280" s="10" t="s">
        <v>466</v>
      </c>
      <c r="F280" s="4" t="s">
        <v>467</v>
      </c>
      <c r="G280" s="10" t="s">
        <v>468</v>
      </c>
      <c r="H280" s="193"/>
      <c r="I280" s="195"/>
      <c r="J280" s="10"/>
      <c r="K280" s="10"/>
      <c r="L280" s="10"/>
      <c r="M280" s="10"/>
      <c r="N280" s="10"/>
      <c r="O280" s="10"/>
      <c r="P280" s="10"/>
    </row>
    <row r="281" spans="1:16" ht="12" customHeight="1" x14ac:dyDescent="0.2">
      <c r="A281" s="123"/>
      <c r="B281" s="193"/>
      <c r="C281" s="4"/>
      <c r="D281" s="4"/>
      <c r="E281" s="4">
        <f>IF(Input!$H$121="x",Input!$D$120*Input!$F$120*Input!$H$120,0)</f>
        <v>0</v>
      </c>
      <c r="F281" s="4">
        <f>IF(Input!$H123="x",Input!D122*Input!F122*Input!H122,0)</f>
        <v>0</v>
      </c>
      <c r="G281" s="4">
        <f>IF(Input!$H$125="x",Input!$D$124*Input!$F$124*Input!$H$124,0)</f>
        <v>0</v>
      </c>
      <c r="H281" s="193"/>
      <c r="I281" s="195"/>
      <c r="J281" s="10"/>
      <c r="K281" s="10"/>
      <c r="L281" s="10"/>
      <c r="M281" s="10"/>
      <c r="N281" s="10"/>
      <c r="O281" s="10"/>
      <c r="P281" s="10"/>
    </row>
    <row r="282" spans="1:16" ht="12" customHeight="1" x14ac:dyDescent="0.2">
      <c r="A282" s="123"/>
      <c r="B282" s="193"/>
      <c r="C282" s="4"/>
      <c r="D282" s="4"/>
      <c r="E282" s="4" t="s">
        <v>470</v>
      </c>
      <c r="F282" s="4" t="s">
        <v>471</v>
      </c>
      <c r="G282" s="4" t="s">
        <v>472</v>
      </c>
      <c r="H282" s="193"/>
      <c r="I282" s="195"/>
      <c r="J282" s="10"/>
      <c r="K282" s="10"/>
      <c r="L282" s="10"/>
      <c r="M282" s="10"/>
      <c r="N282" s="10"/>
      <c r="O282" s="10"/>
      <c r="P282" s="10"/>
    </row>
    <row r="283" spans="1:16" ht="12" customHeight="1" x14ac:dyDescent="0.2">
      <c r="A283" s="123"/>
      <c r="B283" s="193"/>
      <c r="C283" s="4"/>
      <c r="D283" s="4"/>
      <c r="E283" s="4">
        <f>IF(Input!$H$127="x",Input!$D$126*Input!$F$126*Input!$H$126,0)</f>
        <v>0</v>
      </c>
      <c r="F283" s="4">
        <f>IF(Input!H137="x",Input!D136*Input!F136*Input!H136,0)</f>
        <v>0</v>
      </c>
      <c r="G283" s="10">
        <f>E281+F281+G281+E283+F283</f>
        <v>0</v>
      </c>
      <c r="H283" s="193">
        <f>C279*G283/1000</f>
        <v>0</v>
      </c>
      <c r="I283" s="195" t="s">
        <v>333</v>
      </c>
      <c r="J283" s="10"/>
      <c r="K283" s="10"/>
      <c r="L283" s="10"/>
      <c r="M283" s="10"/>
      <c r="N283" s="10"/>
      <c r="O283" s="10"/>
      <c r="P283" s="10"/>
    </row>
    <row r="284" spans="1:16" ht="12" customHeight="1" x14ac:dyDescent="0.2">
      <c r="A284" s="123" t="s">
        <v>480</v>
      </c>
      <c r="B284" s="193"/>
      <c r="C284" s="4">
        <v>0.1</v>
      </c>
      <c r="D284" s="4" t="s">
        <v>474</v>
      </c>
      <c r="E284" s="4"/>
      <c r="F284" s="10"/>
      <c r="G284" s="10"/>
      <c r="H284" s="193">
        <f>(G283+G278)*C284/1000</f>
        <v>0</v>
      </c>
      <c r="I284" s="195" t="s">
        <v>333</v>
      </c>
      <c r="J284" s="10"/>
      <c r="K284" s="10"/>
      <c r="L284" s="10"/>
      <c r="M284" s="10"/>
      <c r="N284" s="10"/>
      <c r="O284" s="10"/>
      <c r="P284" s="10"/>
    </row>
    <row r="285" spans="1:16" ht="12" customHeight="1" x14ac:dyDescent="0.2">
      <c r="A285" s="15"/>
      <c r="B285" s="4"/>
      <c r="C285" s="4"/>
      <c r="D285" s="4"/>
      <c r="E285" s="4"/>
      <c r="F285" s="4" t="s">
        <v>269</v>
      </c>
      <c r="G285" s="4"/>
      <c r="H285" s="193">
        <f>SUM(H273:H284)</f>
        <v>0</v>
      </c>
      <c r="I285" s="195" t="s">
        <v>388</v>
      </c>
      <c r="J285" s="10"/>
      <c r="K285" s="10"/>
      <c r="L285" s="10"/>
      <c r="M285" s="10"/>
      <c r="N285" s="10"/>
      <c r="O285" s="10"/>
      <c r="P285" s="10"/>
    </row>
    <row r="286" spans="1:16" ht="12" customHeight="1" x14ac:dyDescent="0.2">
      <c r="A286" s="123" t="s">
        <v>481</v>
      </c>
      <c r="B286" s="193"/>
      <c r="C286" s="4">
        <v>0.08</v>
      </c>
      <c r="D286" s="4" t="s">
        <v>474</v>
      </c>
      <c r="E286" s="4"/>
      <c r="F286" s="4"/>
      <c r="G286" s="4"/>
      <c r="H286" s="193">
        <f>ROUNDUP((G265+G273)*C286/1000,0)</f>
        <v>0</v>
      </c>
      <c r="I286" s="195" t="s">
        <v>333</v>
      </c>
      <c r="J286" s="10"/>
      <c r="K286" s="10"/>
      <c r="L286" s="10"/>
      <c r="M286" s="10"/>
      <c r="N286" s="10"/>
      <c r="O286" s="10"/>
      <c r="P286" s="10"/>
    </row>
    <row r="287" spans="1:16" ht="12" customHeight="1" x14ac:dyDescent="0.2">
      <c r="A287" s="15"/>
      <c r="B287" s="193"/>
      <c r="C287" s="4"/>
      <c r="D287" s="4"/>
      <c r="E287" s="4" t="s">
        <v>482</v>
      </c>
      <c r="F287" s="10" t="s">
        <v>483</v>
      </c>
      <c r="G287" s="10" t="s">
        <v>484</v>
      </c>
      <c r="H287" s="193"/>
      <c r="I287" s="195"/>
      <c r="J287" s="10"/>
      <c r="K287" s="10"/>
      <c r="L287" s="10"/>
      <c r="M287" s="10"/>
      <c r="N287" s="10"/>
      <c r="O287" s="10"/>
      <c r="P287" s="10"/>
    </row>
    <row r="288" spans="1:16" ht="12" customHeight="1" x14ac:dyDescent="0.2">
      <c r="A288" s="123" t="s">
        <v>485</v>
      </c>
      <c r="B288" s="193"/>
      <c r="C288" s="180">
        <f>B101</f>
        <v>0.21250000000000002</v>
      </c>
      <c r="D288" s="4" t="s">
        <v>460</v>
      </c>
      <c r="E288" s="201">
        <f>(G265+G273)*0.335/1000</f>
        <v>0</v>
      </c>
      <c r="F288" s="201">
        <f>(G278)*0.4/1000</f>
        <v>0</v>
      </c>
      <c r="G288" s="201">
        <f>(G283)*0.2/1000</f>
        <v>0</v>
      </c>
      <c r="H288" s="193">
        <f>(E288+F288+G288)*C288*Input!D165</f>
        <v>0</v>
      </c>
      <c r="I288" s="195" t="s">
        <v>354</v>
      </c>
      <c r="J288" s="10"/>
      <c r="K288" s="10"/>
      <c r="L288" s="10"/>
      <c r="M288" s="10"/>
      <c r="N288" s="10"/>
      <c r="O288" s="10"/>
    </row>
    <row r="289" spans="1:19" ht="12" customHeight="1" x14ac:dyDescent="0.2">
      <c r="A289" s="123" t="s">
        <v>486</v>
      </c>
      <c r="B289" s="193"/>
      <c r="C289" s="180">
        <f>B105</f>
        <v>45.8</v>
      </c>
      <c r="D289" s="4" t="s">
        <v>487</v>
      </c>
      <c r="E289" s="4"/>
      <c r="F289" s="10"/>
      <c r="G289" s="10"/>
      <c r="H289" s="193">
        <f>(F288+G288)*C289</f>
        <v>0</v>
      </c>
      <c r="I289" s="195" t="s">
        <v>354</v>
      </c>
      <c r="J289" s="10"/>
      <c r="K289" s="10"/>
      <c r="L289" s="10"/>
      <c r="M289" s="10"/>
      <c r="N289" s="10"/>
      <c r="O289" s="10"/>
    </row>
    <row r="290" spans="1:19" ht="12" customHeight="1" x14ac:dyDescent="0.2">
      <c r="A290" s="123"/>
      <c r="B290" s="193"/>
      <c r="C290" s="180"/>
      <c r="D290" s="4"/>
      <c r="E290" s="4"/>
      <c r="F290" s="10"/>
      <c r="G290" s="10"/>
      <c r="H290" s="193"/>
      <c r="I290" s="195"/>
      <c r="J290" s="10"/>
      <c r="K290" s="10"/>
      <c r="L290" s="10"/>
      <c r="M290" s="10"/>
      <c r="N290" s="10"/>
      <c r="O290" s="10"/>
    </row>
    <row r="291" spans="1:19" ht="12" customHeight="1" x14ac:dyDescent="0.2">
      <c r="A291" s="200" t="s">
        <v>488</v>
      </c>
      <c r="B291" s="193"/>
      <c r="C291" s="180"/>
      <c r="D291" s="4"/>
      <c r="E291" s="4" t="s">
        <v>489</v>
      </c>
      <c r="F291" s="10" t="s">
        <v>490</v>
      </c>
      <c r="G291" s="10"/>
      <c r="H291" s="193"/>
      <c r="I291" s="195"/>
      <c r="J291" s="10"/>
      <c r="K291" s="10"/>
      <c r="L291" s="10"/>
      <c r="M291" s="10"/>
      <c r="N291" s="10"/>
      <c r="O291" s="10"/>
    </row>
    <row r="292" spans="1:19" ht="12" customHeight="1" x14ac:dyDescent="0.2">
      <c r="A292" s="123" t="s">
        <v>491</v>
      </c>
      <c r="B292" s="193"/>
      <c r="C292" s="4">
        <v>2</v>
      </c>
      <c r="D292" s="4" t="s">
        <v>492</v>
      </c>
      <c r="E292" s="10">
        <f>IF(Input!H131=0,0,Input!D131/Input!H131)</f>
        <v>0</v>
      </c>
      <c r="F292" s="10"/>
      <c r="G292" s="10"/>
      <c r="H292" s="193">
        <f>E292*C292/60</f>
        <v>0</v>
      </c>
      <c r="I292" s="195" t="s">
        <v>493</v>
      </c>
      <c r="J292" s="10"/>
      <c r="K292" s="10"/>
      <c r="L292" s="10"/>
      <c r="M292" s="10"/>
      <c r="N292" s="10"/>
      <c r="O292" s="10"/>
    </row>
    <row r="293" spans="1:19" ht="12" customHeight="1" x14ac:dyDescent="0.2">
      <c r="A293" s="123" t="s">
        <v>494</v>
      </c>
      <c r="B293" s="193"/>
      <c r="C293" s="4">
        <v>5</v>
      </c>
      <c r="D293" s="4" t="s">
        <v>495</v>
      </c>
      <c r="E293" s="4"/>
      <c r="F293" s="10">
        <f>Input!D131*Input!F131</f>
        <v>0</v>
      </c>
      <c r="G293" s="10"/>
      <c r="H293" s="193">
        <f>F293*C293/(100*60)</f>
        <v>0</v>
      </c>
      <c r="I293" s="195" t="s">
        <v>493</v>
      </c>
      <c r="J293" s="10"/>
      <c r="K293" s="10"/>
      <c r="L293" s="10"/>
      <c r="M293" s="10"/>
      <c r="N293" s="10"/>
      <c r="O293" s="10"/>
    </row>
    <row r="294" spans="1:19" ht="12" customHeight="1" x14ac:dyDescent="0.2">
      <c r="A294" s="123" t="s">
        <v>496</v>
      </c>
      <c r="B294" s="193"/>
      <c r="C294" s="4">
        <v>2</v>
      </c>
      <c r="D294" s="4" t="s">
        <v>492</v>
      </c>
      <c r="E294" s="10">
        <f>IF(Input!H131=0,0,Input!D131/Input!H131)</f>
        <v>0</v>
      </c>
      <c r="F294" s="10"/>
      <c r="G294" s="10"/>
      <c r="H294" s="193">
        <f>C294*E294/60</f>
        <v>0</v>
      </c>
      <c r="I294" s="195" t="s">
        <v>493</v>
      </c>
      <c r="J294" s="10"/>
      <c r="K294" s="10"/>
      <c r="L294" s="10"/>
      <c r="M294" s="10"/>
      <c r="N294" s="10"/>
      <c r="O294" s="10"/>
    </row>
    <row r="295" spans="1:19" ht="12" customHeight="1" x14ac:dyDescent="0.2">
      <c r="A295" s="123" t="s">
        <v>497</v>
      </c>
      <c r="B295" s="193"/>
      <c r="C295" s="4">
        <v>20</v>
      </c>
      <c r="D295" s="4" t="s">
        <v>498</v>
      </c>
      <c r="E295" s="4"/>
      <c r="F295" s="10"/>
      <c r="G295" s="10"/>
      <c r="H295" s="193">
        <f>Input!D131*C295/(1000*60)</f>
        <v>0</v>
      </c>
      <c r="I295" s="195" t="s">
        <v>493</v>
      </c>
      <c r="J295" s="10"/>
      <c r="K295" s="10"/>
      <c r="L295" s="10"/>
      <c r="M295" s="10"/>
      <c r="N295" s="10"/>
      <c r="O295" s="10"/>
    </row>
    <row r="296" spans="1:19" ht="12" customHeight="1" x14ac:dyDescent="0.2">
      <c r="A296" s="123" t="s">
        <v>499</v>
      </c>
      <c r="B296" s="193"/>
      <c r="C296" s="4">
        <v>2</v>
      </c>
      <c r="D296" s="4" t="s">
        <v>500</v>
      </c>
      <c r="E296" s="4"/>
      <c r="F296" s="10"/>
      <c r="G296" s="10"/>
      <c r="H296" s="193">
        <f>+Input!D132*C296</f>
        <v>0</v>
      </c>
      <c r="I296" s="195"/>
      <c r="J296" s="10"/>
      <c r="K296" s="10"/>
      <c r="L296" s="10"/>
      <c r="M296" s="10"/>
      <c r="N296" s="10"/>
      <c r="O296" s="10"/>
    </row>
    <row r="297" spans="1:19" ht="12" customHeight="1" x14ac:dyDescent="0.2">
      <c r="A297" s="123"/>
      <c r="B297" s="193"/>
      <c r="C297" s="4"/>
      <c r="D297" s="4"/>
      <c r="E297" s="4"/>
      <c r="F297" s="10"/>
      <c r="G297" s="10" t="s">
        <v>501</v>
      </c>
      <c r="H297" s="193">
        <f>SUM(H292:H296)*E95</f>
        <v>0</v>
      </c>
      <c r="I297" s="195" t="s">
        <v>354</v>
      </c>
      <c r="J297" s="10"/>
      <c r="K297" s="10"/>
      <c r="L297" s="10"/>
      <c r="M297" s="10"/>
      <c r="N297" s="10"/>
      <c r="O297" s="10"/>
    </row>
    <row r="298" spans="1:19" ht="12" customHeight="1" x14ac:dyDescent="0.2">
      <c r="A298" s="123" t="s">
        <v>502</v>
      </c>
      <c r="B298" s="193"/>
      <c r="C298" s="180">
        <v>4</v>
      </c>
      <c r="D298" s="4" t="s">
        <v>503</v>
      </c>
      <c r="E298" s="4"/>
      <c r="F298" s="10"/>
      <c r="G298" s="10"/>
      <c r="H298" s="193">
        <f>IF(H297=0,0,Input!D165*C298)</f>
        <v>0</v>
      </c>
      <c r="I298" s="195" t="s">
        <v>354</v>
      </c>
      <c r="J298" s="10"/>
      <c r="K298" s="10"/>
      <c r="L298" s="10"/>
      <c r="M298" s="10"/>
      <c r="N298" s="10"/>
      <c r="O298" s="10"/>
    </row>
    <row r="299" spans="1:19" ht="12" customHeight="1" x14ac:dyDescent="0.2">
      <c r="A299" s="15"/>
      <c r="B299" s="193"/>
      <c r="C299" s="4"/>
      <c r="D299" s="4"/>
      <c r="E299" s="4"/>
      <c r="F299" s="10"/>
      <c r="G299" s="10"/>
      <c r="H299" s="193"/>
      <c r="I299" s="195"/>
      <c r="J299" s="10"/>
      <c r="K299" s="10"/>
      <c r="L299" s="10"/>
      <c r="M299" s="10"/>
      <c r="N299" s="10"/>
      <c r="O299" s="10"/>
      <c r="P299" s="10"/>
    </row>
    <row r="300" spans="1:19" ht="12" customHeight="1" x14ac:dyDescent="0.2">
      <c r="A300" s="17" t="s">
        <v>100</v>
      </c>
      <c r="B300" s="193">
        <f>IF(Input!D134=0,0,Input!D134*320)/43560</f>
        <v>0</v>
      </c>
      <c r="C300" s="4"/>
      <c r="D300" s="4"/>
      <c r="E300" s="4"/>
      <c r="F300" s="10" t="s">
        <v>504</v>
      </c>
      <c r="G300" s="10"/>
      <c r="H300" s="193"/>
      <c r="I300" s="195"/>
      <c r="J300" s="10"/>
      <c r="K300" s="10"/>
      <c r="L300" s="10"/>
      <c r="M300" s="10"/>
      <c r="N300" s="10"/>
      <c r="O300" s="10"/>
      <c r="P300" s="10"/>
    </row>
    <row r="301" spans="1:19" ht="12" customHeight="1" x14ac:dyDescent="0.2">
      <c r="A301" s="123" t="s">
        <v>505</v>
      </c>
      <c r="B301" s="193"/>
      <c r="C301" s="4">
        <v>1.24</v>
      </c>
      <c r="D301" s="4" t="s">
        <v>506</v>
      </c>
      <c r="E301" s="4"/>
      <c r="F301" s="10">
        <f>Input!D134</f>
        <v>0</v>
      </c>
      <c r="G301" s="10" t="s">
        <v>507</v>
      </c>
      <c r="H301" s="193">
        <f>ROUNDUP(F301*C301,0)</f>
        <v>0</v>
      </c>
      <c r="I301" s="195" t="s">
        <v>333</v>
      </c>
      <c r="J301" s="10"/>
      <c r="K301" s="10"/>
      <c r="L301" s="10"/>
      <c r="M301" s="10"/>
      <c r="N301" s="10"/>
      <c r="O301" s="10"/>
      <c r="P301" s="10"/>
    </row>
    <row r="302" spans="1:19" ht="12" customHeight="1" x14ac:dyDescent="0.2">
      <c r="A302" s="123" t="s">
        <v>508</v>
      </c>
      <c r="B302" s="193"/>
      <c r="C302" s="180">
        <v>500</v>
      </c>
      <c r="D302" s="4" t="s">
        <v>509</v>
      </c>
      <c r="E302" s="4"/>
      <c r="F302" s="10">
        <f>F301</f>
        <v>0</v>
      </c>
      <c r="G302" s="10"/>
      <c r="H302" s="193">
        <f>C302*F302</f>
        <v>0</v>
      </c>
      <c r="I302" s="195" t="s">
        <v>354</v>
      </c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12" customHeight="1" x14ac:dyDescent="0.2">
      <c r="A303" s="123" t="s">
        <v>510</v>
      </c>
      <c r="B303" s="193"/>
      <c r="C303" s="4">
        <v>0.5</v>
      </c>
      <c r="D303" s="4" t="s">
        <v>506</v>
      </c>
      <c r="E303" s="4"/>
      <c r="F303" s="10">
        <f>F301</f>
        <v>0</v>
      </c>
      <c r="G303" s="10"/>
      <c r="H303" s="193">
        <f>ROUNDUP(F303*C303,0)</f>
        <v>0</v>
      </c>
      <c r="I303" s="195" t="s">
        <v>333</v>
      </c>
      <c r="J303" s="10"/>
      <c r="K303" s="10"/>
      <c r="L303" s="10"/>
      <c r="M303" s="10"/>
      <c r="N303" s="10"/>
      <c r="O303" s="10"/>
      <c r="P303" s="10"/>
    </row>
    <row r="304" spans="1:19" ht="12" customHeight="1" x14ac:dyDescent="0.2">
      <c r="A304" s="206" t="s">
        <v>511</v>
      </c>
      <c r="B304" s="193"/>
      <c r="C304" s="4">
        <v>1</v>
      </c>
      <c r="D304" s="4" t="s">
        <v>506</v>
      </c>
      <c r="E304" s="4"/>
      <c r="F304" s="10">
        <f>F301</f>
        <v>0</v>
      </c>
      <c r="G304" s="10"/>
      <c r="H304" s="193">
        <f>ROUNDUP(F304*C304,0)*E95</f>
        <v>0</v>
      </c>
      <c r="I304" s="195" t="s">
        <v>354</v>
      </c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12" customHeight="1" x14ac:dyDescent="0.2">
      <c r="A305" s="123" t="s">
        <v>485</v>
      </c>
      <c r="B305" s="193"/>
      <c r="C305" s="180">
        <f>B100</f>
        <v>5.0625</v>
      </c>
      <c r="D305" s="4" t="s">
        <v>503</v>
      </c>
      <c r="E305" s="4"/>
      <c r="F305" s="10">
        <f>F301</f>
        <v>0</v>
      </c>
      <c r="G305" s="10"/>
      <c r="H305" s="193">
        <f>F305*C305*Input!D165</f>
        <v>0</v>
      </c>
      <c r="I305" s="195" t="s">
        <v>354</v>
      </c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12" customHeight="1" x14ac:dyDescent="0.2">
      <c r="A306" s="123" t="s">
        <v>355</v>
      </c>
      <c r="B306" s="193"/>
      <c r="C306" s="180">
        <f>B105</f>
        <v>45.8</v>
      </c>
      <c r="D306" s="4" t="s">
        <v>461</v>
      </c>
      <c r="E306" s="4"/>
      <c r="F306" s="10">
        <f>F301*4</f>
        <v>0</v>
      </c>
      <c r="G306" s="10" t="s">
        <v>353</v>
      </c>
      <c r="H306" s="193">
        <f>F306*C306</f>
        <v>0</v>
      </c>
      <c r="I306" s="195" t="s">
        <v>354</v>
      </c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12" customHeight="1" x14ac:dyDescent="0.2">
      <c r="A307" s="15"/>
      <c r="B307" s="193"/>
      <c r="C307" s="4"/>
      <c r="D307" s="4"/>
      <c r="E307" s="4"/>
      <c r="F307" s="10"/>
      <c r="G307" s="10"/>
      <c r="H307" s="193"/>
      <c r="I307" s="195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12" customHeight="1" x14ac:dyDescent="0.2">
      <c r="A308" s="200" t="s">
        <v>101</v>
      </c>
      <c r="B308" s="193"/>
      <c r="C308" s="4"/>
      <c r="D308" s="4"/>
      <c r="E308" s="4"/>
      <c r="F308" s="10" t="s">
        <v>395</v>
      </c>
      <c r="G308" s="10"/>
      <c r="H308" s="193"/>
      <c r="I308" s="195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12" customHeight="1" x14ac:dyDescent="0.2">
      <c r="A309" s="123" t="s">
        <v>512</v>
      </c>
      <c r="B309" s="193"/>
      <c r="C309" s="180">
        <v>100</v>
      </c>
      <c r="D309" s="4" t="s">
        <v>513</v>
      </c>
      <c r="E309" s="4"/>
      <c r="F309" s="10">
        <f>Input!D136</f>
        <v>0</v>
      </c>
      <c r="G309" s="10"/>
      <c r="H309" s="193">
        <f>F309*C309</f>
        <v>0</v>
      </c>
      <c r="I309" s="195" t="s">
        <v>354</v>
      </c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12" customHeight="1" x14ac:dyDescent="0.2">
      <c r="A310" s="123" t="s">
        <v>514</v>
      </c>
      <c r="B310" s="193"/>
      <c r="C310" s="4">
        <v>3</v>
      </c>
      <c r="D310" s="4" t="s">
        <v>515</v>
      </c>
      <c r="E310" s="4"/>
      <c r="F310" s="10">
        <f>F309</f>
        <v>0</v>
      </c>
      <c r="G310" s="10"/>
      <c r="H310" s="193">
        <f>F310*C310*E95</f>
        <v>0</v>
      </c>
      <c r="I310" s="195" t="s">
        <v>354</v>
      </c>
      <c r="J310" s="10"/>
      <c r="K310" s="10"/>
      <c r="L310" s="10"/>
      <c r="M310" s="10"/>
      <c r="N310" s="10"/>
      <c r="O310" s="10"/>
    </row>
    <row r="311" spans="1:19" ht="12" customHeight="1" x14ac:dyDescent="0.2">
      <c r="A311" s="123" t="s">
        <v>485</v>
      </c>
      <c r="B311" s="193"/>
      <c r="C311" s="180">
        <f>B100</f>
        <v>5.0625</v>
      </c>
      <c r="D311" s="4" t="s">
        <v>503</v>
      </c>
      <c r="E311" s="4"/>
      <c r="F311" s="10">
        <f>F309</f>
        <v>0</v>
      </c>
      <c r="G311" s="10"/>
      <c r="H311" s="193">
        <f>F311*Input!D165*C311</f>
        <v>0</v>
      </c>
      <c r="I311" s="195" t="s">
        <v>354</v>
      </c>
      <c r="J311" s="10"/>
      <c r="K311" s="10"/>
      <c r="L311" s="10"/>
      <c r="M311" s="10"/>
      <c r="N311" s="10"/>
      <c r="O311" s="10"/>
    </row>
    <row r="312" spans="1:19" ht="12" customHeight="1" x14ac:dyDescent="0.2">
      <c r="A312" s="123" t="s">
        <v>516</v>
      </c>
      <c r="B312" s="193"/>
      <c r="C312" s="180">
        <f>B114</f>
        <v>328.75</v>
      </c>
      <c r="D312" s="4" t="s">
        <v>513</v>
      </c>
      <c r="E312" s="4"/>
      <c r="F312" s="10">
        <f>F309</f>
        <v>0</v>
      </c>
      <c r="G312" s="10"/>
      <c r="H312" s="193">
        <f>F312*C312</f>
        <v>0</v>
      </c>
      <c r="I312" s="195" t="s">
        <v>354</v>
      </c>
      <c r="J312" s="10"/>
      <c r="K312" s="10"/>
      <c r="L312" s="10"/>
      <c r="M312" s="10"/>
      <c r="N312" s="10"/>
      <c r="O312" s="10"/>
    </row>
    <row r="313" spans="1:19" ht="12" customHeight="1" x14ac:dyDescent="0.2">
      <c r="A313" s="15"/>
      <c r="B313" s="193"/>
      <c r="C313" s="4"/>
      <c r="D313" s="4"/>
      <c r="E313" s="4"/>
      <c r="F313" s="10"/>
      <c r="G313" s="10"/>
      <c r="H313" s="193"/>
      <c r="I313" s="195"/>
      <c r="J313" s="10"/>
      <c r="K313" s="10"/>
      <c r="L313" s="10"/>
      <c r="M313" s="10"/>
      <c r="N313" s="10"/>
      <c r="O313" s="10"/>
      <c r="P313" s="10"/>
    </row>
    <row r="314" spans="1:19" ht="12" customHeight="1" x14ac:dyDescent="0.2">
      <c r="A314" s="17" t="s">
        <v>517</v>
      </c>
      <c r="B314" s="193"/>
      <c r="C314" s="4"/>
      <c r="D314" s="4"/>
      <c r="E314" s="4"/>
      <c r="F314" s="10"/>
      <c r="G314" s="10"/>
      <c r="H314" s="193"/>
      <c r="I314" s="195"/>
      <c r="J314" s="10"/>
      <c r="K314" s="10"/>
      <c r="L314" s="10"/>
      <c r="M314" s="10"/>
      <c r="N314" s="10"/>
      <c r="O314" s="10"/>
      <c r="P314" s="10"/>
    </row>
    <row r="315" spans="1:19" ht="12" customHeight="1" x14ac:dyDescent="0.2">
      <c r="A315" s="15" t="s">
        <v>518</v>
      </c>
      <c r="B315" s="193"/>
      <c r="C315" s="4"/>
      <c r="D315" s="4"/>
      <c r="E315" s="4"/>
      <c r="F315" s="10">
        <f>IF(Input!D138&gt;0,1,0)+IF(Input!D139&gt;0,1,0)+IF(Input!D140&gt;0,1,0)+IF(Input!D141&gt;0,1,0)+IF(Input!D142&gt;0,1,0)+IF(Input!D143&gt;0,1,0)</f>
        <v>0</v>
      </c>
      <c r="G315" s="10" t="s">
        <v>507</v>
      </c>
      <c r="H315" s="193"/>
      <c r="I315" s="195"/>
      <c r="J315" s="10"/>
      <c r="K315" s="10"/>
      <c r="L315" s="10"/>
      <c r="M315" s="10"/>
      <c r="N315" s="10"/>
      <c r="O315" s="10"/>
      <c r="P315" s="10"/>
    </row>
    <row r="316" spans="1:19" ht="12" customHeight="1" x14ac:dyDescent="0.2">
      <c r="A316" s="15" t="s">
        <v>519</v>
      </c>
      <c r="B316" s="193"/>
      <c r="C316" s="4"/>
      <c r="D316" s="4"/>
      <c r="E316" s="4"/>
      <c r="F316" s="193">
        <f>(Input!F138*Input!D138+(3.14*Input!F138^2)/2)*0.0038</f>
        <v>0</v>
      </c>
      <c r="G316" s="10" t="s">
        <v>353</v>
      </c>
      <c r="H316" s="193"/>
      <c r="I316" s="195"/>
      <c r="J316" s="10"/>
      <c r="K316" s="10"/>
      <c r="L316" s="10"/>
      <c r="M316" s="10"/>
      <c r="N316" s="10"/>
      <c r="O316" s="10"/>
      <c r="P316" s="10"/>
    </row>
    <row r="317" spans="1:19" ht="12" customHeight="1" x14ac:dyDescent="0.2">
      <c r="A317" s="15" t="s">
        <v>520</v>
      </c>
      <c r="B317" s="193"/>
      <c r="C317" s="4"/>
      <c r="D317" s="4"/>
      <c r="E317" s="4"/>
      <c r="F317" s="193">
        <f>(Input!F139*Input!D139+(3.14*Input!F139^2)/2)*0.0038</f>
        <v>0</v>
      </c>
      <c r="G317" s="10"/>
      <c r="H317" s="193"/>
      <c r="I317" s="195"/>
      <c r="J317" s="10"/>
      <c r="K317" s="10"/>
      <c r="L317" s="10"/>
      <c r="M317" s="10"/>
      <c r="N317" s="10"/>
      <c r="O317" s="10"/>
      <c r="P317" s="10"/>
    </row>
    <row r="318" spans="1:19" ht="12" customHeight="1" x14ac:dyDescent="0.2">
      <c r="A318" s="15" t="s">
        <v>521</v>
      </c>
      <c r="B318" s="193"/>
      <c r="C318" s="4"/>
      <c r="D318" s="4"/>
      <c r="E318" s="4"/>
      <c r="F318" s="193">
        <f>(Input!F140*Input!D140+(3.14*Input!F140^2)/2)*0.0038</f>
        <v>0</v>
      </c>
      <c r="G318" s="10"/>
      <c r="H318" s="193"/>
      <c r="I318" s="195"/>
      <c r="J318" s="10"/>
      <c r="K318" s="10"/>
      <c r="L318" s="10"/>
      <c r="M318" s="10"/>
      <c r="N318" s="10"/>
      <c r="O318" s="10"/>
      <c r="P318" s="10"/>
    </row>
    <row r="319" spans="1:19" ht="12" customHeight="1" x14ac:dyDescent="0.2">
      <c r="A319" s="15" t="s">
        <v>522</v>
      </c>
      <c r="B319" s="193"/>
      <c r="C319" s="4"/>
      <c r="D319" s="4"/>
      <c r="E319" s="4"/>
      <c r="F319" s="193">
        <f>(Input!F141*Input!D141+(3.14*Input!F141^2)/2)*0.0038</f>
        <v>0</v>
      </c>
      <c r="G319" s="10"/>
      <c r="H319" s="193"/>
      <c r="I319" s="195"/>
      <c r="J319" s="10"/>
      <c r="K319" s="10"/>
      <c r="L319" s="10"/>
      <c r="M319" s="10"/>
      <c r="N319" s="10"/>
      <c r="O319" s="10"/>
      <c r="P319" s="10"/>
    </row>
    <row r="320" spans="1:19" ht="12" customHeight="1" x14ac:dyDescent="0.2">
      <c r="A320" s="15" t="s">
        <v>523</v>
      </c>
      <c r="B320" s="193"/>
      <c r="C320" s="4"/>
      <c r="D320" s="4"/>
      <c r="E320" s="4"/>
      <c r="F320" s="193">
        <f>(Input!F142*Input!D142+(3.14*Input!F142^2)/2)*0.0038</f>
        <v>0</v>
      </c>
      <c r="G320" s="10"/>
      <c r="H320" s="193"/>
      <c r="I320" s="195"/>
      <c r="J320" s="10"/>
      <c r="K320" s="10"/>
      <c r="L320" s="10"/>
      <c r="M320" s="10"/>
      <c r="N320" s="10"/>
      <c r="O320" s="10"/>
      <c r="P320" s="10"/>
    </row>
    <row r="321" spans="1:16" ht="12" customHeight="1" x14ac:dyDescent="0.2">
      <c r="A321" s="15" t="s">
        <v>524</v>
      </c>
      <c r="B321" s="193"/>
      <c r="C321" s="4"/>
      <c r="D321" s="4"/>
      <c r="E321" s="4"/>
      <c r="F321" s="193">
        <f>(Input!F143*Input!D143+(3.14*Input!F143^2)/2)*0.0038</f>
        <v>0</v>
      </c>
      <c r="G321" s="10"/>
      <c r="H321" s="193"/>
      <c r="I321" s="195"/>
      <c r="J321" s="10"/>
      <c r="K321" s="10"/>
      <c r="L321" s="10"/>
      <c r="M321" s="10"/>
      <c r="N321" s="10"/>
      <c r="O321" s="10"/>
      <c r="P321" s="10"/>
    </row>
    <row r="322" spans="1:16" ht="12" customHeight="1" x14ac:dyDescent="0.2">
      <c r="A322" s="15" t="s">
        <v>525</v>
      </c>
      <c r="B322" s="193"/>
      <c r="C322" s="4"/>
      <c r="D322" s="4"/>
      <c r="E322" s="4"/>
      <c r="F322" s="193">
        <f>SUM(F316:F321)</f>
        <v>0</v>
      </c>
      <c r="G322" s="10"/>
      <c r="H322" s="193"/>
      <c r="I322" s="195"/>
      <c r="J322" s="10"/>
      <c r="K322" s="10"/>
      <c r="L322" s="10"/>
      <c r="M322" s="10"/>
      <c r="N322" s="10"/>
      <c r="O322" s="10"/>
      <c r="P322" s="10"/>
    </row>
    <row r="323" spans="1:16" ht="12" customHeight="1" x14ac:dyDescent="0.2">
      <c r="A323" s="15" t="s">
        <v>526</v>
      </c>
      <c r="B323" s="193"/>
      <c r="C323" s="4">
        <v>100</v>
      </c>
      <c r="D323" s="4" t="s">
        <v>509</v>
      </c>
      <c r="E323" s="4"/>
      <c r="F323" s="10"/>
      <c r="G323" s="10"/>
      <c r="H323" s="193">
        <f>F315*C323</f>
        <v>0</v>
      </c>
      <c r="I323" s="195" t="s">
        <v>354</v>
      </c>
      <c r="J323" s="10"/>
      <c r="K323" s="10"/>
      <c r="L323" s="10"/>
      <c r="M323" s="10"/>
      <c r="N323" s="10"/>
      <c r="O323" s="10"/>
      <c r="P323" s="10"/>
    </row>
    <row r="324" spans="1:16" ht="12" customHeight="1" x14ac:dyDescent="0.2">
      <c r="A324" s="15" t="s">
        <v>527</v>
      </c>
      <c r="B324" s="193"/>
      <c r="C324" s="180">
        <f>B100</f>
        <v>5.0625</v>
      </c>
      <c r="D324" s="4" t="s">
        <v>528</v>
      </c>
      <c r="E324" s="4"/>
      <c r="F324" s="10"/>
      <c r="G324" s="10"/>
      <c r="H324" s="193">
        <f>IF(F315&gt;0,C324*Input!D165,0)</f>
        <v>0</v>
      </c>
      <c r="I324" s="195" t="s">
        <v>354</v>
      </c>
      <c r="J324" s="10"/>
      <c r="K324" s="10"/>
      <c r="L324" s="10"/>
      <c r="M324" s="10"/>
      <c r="N324" s="10"/>
      <c r="O324" s="10"/>
      <c r="P324" s="10"/>
    </row>
    <row r="325" spans="1:16" ht="12" customHeight="1" x14ac:dyDescent="0.2">
      <c r="A325" s="15" t="s">
        <v>529</v>
      </c>
      <c r="B325" s="193"/>
      <c r="C325" s="180">
        <v>0</v>
      </c>
      <c r="D325" s="4" t="s">
        <v>461</v>
      </c>
      <c r="E325" s="4"/>
      <c r="F325" s="10"/>
      <c r="G325" s="10"/>
      <c r="H325" s="193">
        <f>F322*C325</f>
        <v>0</v>
      </c>
      <c r="I325" s="195" t="s">
        <v>354</v>
      </c>
      <c r="J325" s="10"/>
      <c r="K325" s="10"/>
      <c r="L325" s="10"/>
      <c r="M325" s="10"/>
      <c r="N325" s="10"/>
      <c r="O325" s="10"/>
      <c r="P325" s="10"/>
    </row>
    <row r="326" spans="1:16" ht="12" customHeight="1" x14ac:dyDescent="0.2">
      <c r="A326" s="15"/>
      <c r="B326" s="193"/>
      <c r="C326" s="4"/>
      <c r="D326" s="4"/>
      <c r="E326" s="4"/>
      <c r="F326" s="10"/>
      <c r="G326" s="10"/>
      <c r="H326" s="193"/>
      <c r="I326" s="195"/>
      <c r="J326" s="10"/>
      <c r="K326" s="10"/>
      <c r="L326" s="10"/>
      <c r="M326" s="10"/>
      <c r="N326" s="10"/>
      <c r="O326" s="10"/>
      <c r="P326" s="10"/>
    </row>
    <row r="327" spans="1:16" ht="12" customHeight="1" x14ac:dyDescent="0.2">
      <c r="A327" s="200" t="s">
        <v>530</v>
      </c>
      <c r="B327" s="193"/>
      <c r="C327" s="4"/>
      <c r="D327" s="4"/>
      <c r="E327" s="4"/>
      <c r="F327" s="10" t="s">
        <v>531</v>
      </c>
      <c r="G327" s="10" t="s">
        <v>532</v>
      </c>
      <c r="H327" s="193"/>
      <c r="I327" s="195"/>
      <c r="J327" s="10"/>
      <c r="K327" s="10"/>
      <c r="L327" s="10"/>
      <c r="M327" s="10"/>
      <c r="N327" s="10"/>
      <c r="O327" s="10"/>
      <c r="P327" s="10"/>
    </row>
    <row r="328" spans="1:16" ht="12" customHeight="1" x14ac:dyDescent="0.2">
      <c r="A328" s="123" t="s">
        <v>533</v>
      </c>
      <c r="B328" s="193"/>
      <c r="C328" s="4"/>
      <c r="D328" s="4"/>
      <c r="E328" s="4"/>
      <c r="F328" s="4">
        <f>Input!D146</f>
        <v>0</v>
      </c>
      <c r="G328" s="4">
        <f>Input!D147</f>
        <v>0</v>
      </c>
      <c r="H328" s="193"/>
      <c r="I328" s="195"/>
      <c r="J328" s="10"/>
      <c r="K328" s="10"/>
      <c r="L328" s="10"/>
      <c r="M328" s="10"/>
      <c r="N328" s="10"/>
      <c r="O328" s="10"/>
      <c r="P328" s="10"/>
    </row>
    <row r="329" spans="1:16" ht="12" customHeight="1" x14ac:dyDescent="0.2">
      <c r="A329" s="123" t="s">
        <v>534</v>
      </c>
      <c r="B329" s="193"/>
      <c r="C329" s="4">
        <v>1</v>
      </c>
      <c r="D329" s="4" t="s">
        <v>535</v>
      </c>
      <c r="E329" s="4"/>
      <c r="F329" s="4"/>
      <c r="G329" s="4"/>
      <c r="H329" s="193">
        <f>((F$328+G$328)*C329)*E95</f>
        <v>0</v>
      </c>
      <c r="I329" s="195" t="s">
        <v>354</v>
      </c>
      <c r="J329" s="10"/>
      <c r="K329" s="10"/>
      <c r="L329" s="10"/>
      <c r="M329" s="10"/>
      <c r="N329" s="10"/>
      <c r="O329" s="10"/>
      <c r="P329" s="10"/>
    </row>
    <row r="330" spans="1:16" ht="12" customHeight="1" x14ac:dyDescent="0.2">
      <c r="A330" s="123" t="s">
        <v>510</v>
      </c>
      <c r="B330" s="193"/>
      <c r="C330" s="4">
        <v>1</v>
      </c>
      <c r="D330" s="4" t="s">
        <v>535</v>
      </c>
      <c r="E330" s="4"/>
      <c r="F330" s="4"/>
      <c r="G330" s="4"/>
      <c r="H330" s="193">
        <f>(F$328+G$328)*C330</f>
        <v>0</v>
      </c>
      <c r="I330" s="195" t="s">
        <v>333</v>
      </c>
      <c r="J330" s="10"/>
      <c r="K330" s="10"/>
      <c r="L330" s="10"/>
      <c r="M330" s="10"/>
      <c r="N330" s="10"/>
      <c r="O330" s="10"/>
      <c r="P330" s="10"/>
    </row>
    <row r="331" spans="1:16" ht="12" customHeight="1" x14ac:dyDescent="0.2">
      <c r="A331" s="123" t="s">
        <v>511</v>
      </c>
      <c r="B331" s="193"/>
      <c r="C331" s="4">
        <v>1</v>
      </c>
      <c r="D331" s="4" t="s">
        <v>535</v>
      </c>
      <c r="E331" s="4"/>
      <c r="F331" s="4"/>
      <c r="G331" s="4"/>
      <c r="H331" s="193">
        <f>ROUNDUP((F$328+G$328)*C331*E95*1.2,0)</f>
        <v>0</v>
      </c>
      <c r="I331" s="195" t="s">
        <v>354</v>
      </c>
      <c r="J331" s="10"/>
      <c r="K331" s="10"/>
      <c r="L331" s="10"/>
      <c r="M331" s="10"/>
      <c r="N331" s="10"/>
      <c r="O331" s="10"/>
      <c r="P331" s="10"/>
    </row>
    <row r="332" spans="1:16" ht="12" customHeight="1" x14ac:dyDescent="0.2">
      <c r="A332" s="123" t="s">
        <v>485</v>
      </c>
      <c r="B332" s="193"/>
      <c r="C332" s="180">
        <f>B100</f>
        <v>5.0625</v>
      </c>
      <c r="D332" s="4" t="s">
        <v>503</v>
      </c>
      <c r="E332" s="4"/>
      <c r="F332" s="4"/>
      <c r="G332" s="4"/>
      <c r="H332" s="193">
        <f>(F328+G328)*C332*Input!D165</f>
        <v>0</v>
      </c>
      <c r="I332" s="195" t="s">
        <v>354</v>
      </c>
      <c r="J332" s="10"/>
      <c r="K332" s="10"/>
      <c r="L332" s="10"/>
      <c r="M332" s="10"/>
      <c r="N332" s="10"/>
      <c r="O332" s="10"/>
    </row>
    <row r="333" spans="1:16" ht="12" customHeight="1" x14ac:dyDescent="0.2">
      <c r="A333" s="123" t="s">
        <v>536</v>
      </c>
      <c r="B333" s="193"/>
      <c r="C333" s="180">
        <f>B115</f>
        <v>125</v>
      </c>
      <c r="D333" s="4" t="s">
        <v>509</v>
      </c>
      <c r="E333" s="4"/>
      <c r="F333" s="10"/>
      <c r="G333" s="10"/>
      <c r="H333" s="193">
        <f>F328*C333</f>
        <v>0</v>
      </c>
      <c r="I333" s="195" t="s">
        <v>354</v>
      </c>
      <c r="J333" s="10"/>
      <c r="K333" s="10"/>
      <c r="L333" s="10"/>
      <c r="M333" s="10"/>
      <c r="N333" s="10"/>
      <c r="O333" s="10"/>
      <c r="P333" s="10"/>
    </row>
    <row r="334" spans="1:16" ht="12" customHeight="1" x14ac:dyDescent="0.2">
      <c r="A334" s="123" t="s">
        <v>537</v>
      </c>
      <c r="B334" s="193"/>
      <c r="C334" s="180">
        <f>B116</f>
        <v>1262.5</v>
      </c>
      <c r="D334" s="4" t="s">
        <v>509</v>
      </c>
      <c r="E334" s="4"/>
      <c r="F334" s="10"/>
      <c r="G334" s="10"/>
      <c r="H334" s="193">
        <f>G328*C334</f>
        <v>0</v>
      </c>
      <c r="I334" s="195" t="s">
        <v>354</v>
      </c>
      <c r="J334" s="10"/>
      <c r="K334" s="10"/>
      <c r="L334" s="10"/>
      <c r="M334" s="10"/>
      <c r="N334" s="10"/>
      <c r="O334" s="10"/>
      <c r="P334" s="10"/>
    </row>
    <row r="335" spans="1:16" ht="12" customHeight="1" x14ac:dyDescent="0.2">
      <c r="A335" s="123"/>
      <c r="B335" s="193"/>
      <c r="C335" s="4"/>
      <c r="D335" s="4"/>
      <c r="E335" s="4"/>
      <c r="F335" s="10"/>
      <c r="G335" s="10"/>
      <c r="H335" s="193"/>
      <c r="I335" s="195"/>
      <c r="J335" s="10"/>
      <c r="K335" s="10"/>
      <c r="L335" s="10"/>
      <c r="M335" s="10"/>
      <c r="N335" s="10"/>
      <c r="O335" s="10"/>
      <c r="P335" s="10"/>
    </row>
    <row r="336" spans="1:16" ht="12" customHeight="1" x14ac:dyDescent="0.2">
      <c r="A336" s="200" t="s">
        <v>538</v>
      </c>
      <c r="B336" s="193"/>
      <c r="C336" s="4"/>
      <c r="D336" s="4"/>
      <c r="E336" s="4"/>
      <c r="F336" s="10" t="s">
        <v>395</v>
      </c>
      <c r="G336" s="10"/>
      <c r="H336" s="199"/>
      <c r="I336" s="195"/>
      <c r="J336" s="10"/>
      <c r="K336" s="10"/>
      <c r="L336" s="10"/>
      <c r="M336" s="10"/>
      <c r="N336" s="10"/>
      <c r="O336" s="10"/>
      <c r="P336" s="10"/>
    </row>
    <row r="337" spans="1:16" ht="12" customHeight="1" x14ac:dyDescent="0.2">
      <c r="A337" s="123" t="s">
        <v>539</v>
      </c>
      <c r="B337" s="193"/>
      <c r="C337" s="180">
        <v>30</v>
      </c>
      <c r="D337" s="4" t="s">
        <v>540</v>
      </c>
      <c r="E337" s="4"/>
      <c r="F337" s="10">
        <f>Input!D150</f>
        <v>0</v>
      </c>
      <c r="G337" s="10"/>
      <c r="H337" s="193">
        <f>ROUNDUP(F337*C337,0)</f>
        <v>0</v>
      </c>
      <c r="I337" s="195" t="s">
        <v>354</v>
      </c>
      <c r="J337" s="10"/>
      <c r="K337" s="10"/>
      <c r="L337" s="10"/>
      <c r="M337" s="10"/>
      <c r="N337" s="10"/>
      <c r="O337" s="10"/>
      <c r="P337" s="10"/>
    </row>
    <row r="338" spans="1:16" ht="12" customHeight="1" x14ac:dyDescent="0.2">
      <c r="A338" s="123" t="s">
        <v>485</v>
      </c>
      <c r="B338" s="193"/>
      <c r="C338" s="180">
        <f>B100</f>
        <v>5.0625</v>
      </c>
      <c r="D338" s="4" t="s">
        <v>541</v>
      </c>
      <c r="E338" s="4"/>
      <c r="F338" s="10"/>
      <c r="G338" s="10"/>
      <c r="H338" s="193">
        <f>C338*ROUNDUP(F337/15,0)*Input!D165</f>
        <v>0</v>
      </c>
      <c r="I338" s="195" t="s">
        <v>354</v>
      </c>
      <c r="J338" s="10"/>
      <c r="K338" s="10"/>
      <c r="L338" s="10"/>
      <c r="M338" s="10"/>
      <c r="N338" s="10"/>
      <c r="O338" s="10"/>
    </row>
    <row r="339" spans="1:16" ht="12" customHeight="1" x14ac:dyDescent="0.2">
      <c r="A339" s="123" t="s">
        <v>516</v>
      </c>
      <c r="B339" s="193"/>
      <c r="C339" s="180">
        <f>B106</f>
        <v>42.925000000000004</v>
      </c>
      <c r="D339" s="4" t="s">
        <v>540</v>
      </c>
      <c r="E339" s="4"/>
      <c r="F339" s="10"/>
      <c r="G339" s="10"/>
      <c r="H339" s="193">
        <f>F337*C339</f>
        <v>0</v>
      </c>
      <c r="I339" s="195" t="s">
        <v>354</v>
      </c>
      <c r="J339" s="10"/>
      <c r="K339" s="10"/>
      <c r="L339" s="10"/>
      <c r="M339" s="10"/>
      <c r="N339" s="10"/>
      <c r="O339" s="10"/>
    </row>
    <row r="340" spans="1:16" ht="12" customHeight="1" x14ac:dyDescent="0.2">
      <c r="A340" s="123"/>
      <c r="B340" s="193"/>
      <c r="C340" s="4"/>
      <c r="D340" s="4"/>
      <c r="E340" s="4"/>
      <c r="F340" s="10"/>
      <c r="G340" s="10"/>
      <c r="H340" s="193"/>
      <c r="I340" s="195"/>
      <c r="J340" s="10"/>
      <c r="K340" s="10"/>
      <c r="L340" s="10"/>
      <c r="M340" s="10"/>
      <c r="N340" s="10"/>
      <c r="O340" s="10"/>
    </row>
    <row r="341" spans="1:16" ht="12" customHeight="1" x14ac:dyDescent="0.2">
      <c r="A341" s="200" t="s">
        <v>542</v>
      </c>
      <c r="B341" s="193"/>
      <c r="C341" s="4"/>
      <c r="D341" s="4"/>
      <c r="E341" s="4"/>
      <c r="F341" s="10" t="s">
        <v>395</v>
      </c>
      <c r="G341" s="10"/>
      <c r="H341" s="193"/>
      <c r="I341" s="195"/>
      <c r="J341" s="10"/>
      <c r="K341" s="10"/>
      <c r="L341" s="10"/>
      <c r="M341" s="10"/>
      <c r="N341" s="10"/>
      <c r="O341" s="10"/>
      <c r="P341" s="10"/>
    </row>
    <row r="342" spans="1:16" ht="12" customHeight="1" x14ac:dyDescent="0.2">
      <c r="A342" s="123" t="s">
        <v>539</v>
      </c>
      <c r="B342" s="193"/>
      <c r="C342" s="180">
        <v>0.5</v>
      </c>
      <c r="D342" s="4" t="s">
        <v>540</v>
      </c>
      <c r="E342" s="4"/>
      <c r="F342" s="10">
        <f>Input!D151</f>
        <v>0</v>
      </c>
      <c r="G342" s="10"/>
      <c r="H342" s="193">
        <f>ROUNDUP(F342*C342,0)</f>
        <v>0</v>
      </c>
      <c r="I342" s="195" t="s">
        <v>354</v>
      </c>
      <c r="J342" s="10"/>
      <c r="K342" s="10"/>
      <c r="L342" s="10"/>
      <c r="M342" s="10"/>
      <c r="N342" s="10"/>
      <c r="O342" s="10"/>
      <c r="P342" s="10"/>
    </row>
    <row r="343" spans="1:16" ht="12" customHeight="1" x14ac:dyDescent="0.2">
      <c r="A343" s="123" t="s">
        <v>485</v>
      </c>
      <c r="B343" s="193"/>
      <c r="C343" s="180">
        <f>B100</f>
        <v>5.0625</v>
      </c>
      <c r="D343" s="4" t="s">
        <v>543</v>
      </c>
      <c r="E343" s="4"/>
      <c r="F343" s="10"/>
      <c r="G343" s="10"/>
      <c r="H343" s="193">
        <f>Input!D165*ROUNDUP(F342/60,0)*C343</f>
        <v>0</v>
      </c>
      <c r="I343" s="195" t="s">
        <v>354</v>
      </c>
      <c r="J343" s="10"/>
      <c r="K343" s="10"/>
      <c r="L343" s="10"/>
      <c r="M343" s="10"/>
      <c r="N343" s="10"/>
      <c r="O343" s="10"/>
    </row>
    <row r="344" spans="1:16" ht="12" customHeight="1" x14ac:dyDescent="0.2">
      <c r="A344" s="123" t="s">
        <v>516</v>
      </c>
      <c r="B344" s="193"/>
      <c r="C344" s="180">
        <f>B107</f>
        <v>2.5</v>
      </c>
      <c r="D344" s="4" t="s">
        <v>540</v>
      </c>
      <c r="E344" s="4"/>
      <c r="F344" s="10"/>
      <c r="G344" s="10"/>
      <c r="H344" s="193">
        <f>Input!D151*C344</f>
        <v>0</v>
      </c>
      <c r="I344" s="195" t="s">
        <v>354</v>
      </c>
      <c r="J344" s="10"/>
      <c r="K344" s="10"/>
      <c r="L344" s="10"/>
      <c r="M344" s="10"/>
      <c r="N344" s="10"/>
      <c r="O344" s="10"/>
    </row>
    <row r="345" spans="1:16" ht="12" customHeight="1" x14ac:dyDescent="0.2">
      <c r="A345" s="15"/>
      <c r="B345" s="193"/>
      <c r="C345" s="4"/>
      <c r="D345" s="4"/>
      <c r="E345" s="4"/>
      <c r="F345" s="10"/>
      <c r="G345" s="10"/>
      <c r="H345" s="193"/>
      <c r="I345" s="195"/>
      <c r="J345" s="10"/>
      <c r="K345" s="10"/>
      <c r="L345" s="10"/>
      <c r="M345" s="10"/>
      <c r="N345" s="10"/>
      <c r="O345" s="10"/>
      <c r="P345" s="10"/>
    </row>
    <row r="346" spans="1:16" ht="12" customHeight="1" x14ac:dyDescent="0.2">
      <c r="A346" s="200" t="s">
        <v>544</v>
      </c>
      <c r="B346" s="193"/>
      <c r="C346" s="4"/>
      <c r="D346" s="4"/>
      <c r="E346" s="4"/>
      <c r="F346" s="10" t="s">
        <v>395</v>
      </c>
      <c r="G346" s="10"/>
      <c r="H346" s="193"/>
      <c r="I346" s="195"/>
      <c r="J346" s="10"/>
      <c r="K346" s="10"/>
      <c r="L346" s="10"/>
      <c r="M346" s="10"/>
      <c r="N346" s="10"/>
      <c r="O346" s="10"/>
      <c r="P346" s="10"/>
    </row>
    <row r="347" spans="1:16" ht="12" customHeight="1" x14ac:dyDescent="0.2">
      <c r="A347" s="123" t="s">
        <v>516</v>
      </c>
      <c r="B347" s="193"/>
      <c r="C347" s="180">
        <f>B113</f>
        <v>693.75</v>
      </c>
      <c r="D347" s="4" t="s">
        <v>545</v>
      </c>
      <c r="E347" s="4"/>
      <c r="F347" s="10">
        <f>Input!D153</f>
        <v>0</v>
      </c>
      <c r="G347" s="10"/>
      <c r="H347" s="193">
        <f>F347*C347</f>
        <v>0</v>
      </c>
      <c r="I347" s="195" t="s">
        <v>354</v>
      </c>
      <c r="J347" s="10"/>
      <c r="K347" s="10"/>
      <c r="L347" s="10"/>
      <c r="M347" s="10"/>
      <c r="N347" s="10"/>
      <c r="O347" s="10"/>
    </row>
    <row r="348" spans="1:16" ht="12" customHeight="1" x14ac:dyDescent="0.2">
      <c r="A348" s="123"/>
      <c r="B348" s="193"/>
      <c r="C348" s="207"/>
      <c r="D348" s="4"/>
      <c r="E348" s="4"/>
      <c r="F348" s="10"/>
      <c r="G348" s="10"/>
      <c r="H348" s="193"/>
      <c r="I348" s="195"/>
      <c r="J348" s="10"/>
      <c r="K348" s="10"/>
      <c r="L348" s="10"/>
      <c r="M348" s="10"/>
      <c r="N348" s="10"/>
      <c r="O348" s="10"/>
      <c r="P348" s="10"/>
    </row>
    <row r="349" spans="1:16" ht="12" customHeight="1" x14ac:dyDescent="0.2">
      <c r="A349" s="200" t="s">
        <v>115</v>
      </c>
      <c r="B349" s="193"/>
      <c r="C349" s="4"/>
      <c r="D349" s="4"/>
      <c r="E349" s="4"/>
      <c r="F349" s="10" t="s">
        <v>395</v>
      </c>
      <c r="G349" s="10"/>
      <c r="H349" s="193"/>
      <c r="I349" s="195"/>
      <c r="J349" s="10"/>
      <c r="K349" s="10"/>
      <c r="L349" s="10"/>
      <c r="M349" s="10"/>
      <c r="N349" s="10"/>
      <c r="O349" s="10"/>
      <c r="P349" s="10"/>
    </row>
    <row r="350" spans="1:16" ht="12" customHeight="1" x14ac:dyDescent="0.2">
      <c r="A350" s="123" t="s">
        <v>539</v>
      </c>
      <c r="B350" s="193"/>
      <c r="C350" s="180">
        <v>15</v>
      </c>
      <c r="D350" s="4" t="s">
        <v>545</v>
      </c>
      <c r="E350" s="4"/>
      <c r="F350" s="10">
        <f>Input!D155</f>
        <v>0</v>
      </c>
      <c r="G350" s="10"/>
      <c r="H350" s="193">
        <f>C350*F350</f>
        <v>0</v>
      </c>
      <c r="I350" s="195" t="s">
        <v>354</v>
      </c>
      <c r="J350" s="10"/>
      <c r="K350" s="10"/>
      <c r="L350" s="10"/>
      <c r="M350" s="10"/>
      <c r="N350" s="10"/>
      <c r="O350" s="10"/>
      <c r="P350" s="10"/>
    </row>
    <row r="351" spans="1:16" ht="12" customHeight="1" x14ac:dyDescent="0.2">
      <c r="A351" s="123" t="s">
        <v>485</v>
      </c>
      <c r="B351" s="193"/>
      <c r="C351" s="180">
        <f>B100</f>
        <v>5.0625</v>
      </c>
      <c r="D351" s="4" t="s">
        <v>546</v>
      </c>
      <c r="E351" s="4"/>
      <c r="F351" s="10"/>
      <c r="G351" s="10"/>
      <c r="H351" s="193">
        <f>ROUNDUP(F350/20,0)*Input!D165*C351</f>
        <v>0</v>
      </c>
      <c r="I351" s="195" t="s">
        <v>354</v>
      </c>
      <c r="J351" s="10"/>
      <c r="K351" s="10" t="s">
        <v>547</v>
      </c>
      <c r="L351" s="10"/>
      <c r="M351" s="10"/>
      <c r="N351" s="10"/>
      <c r="O351" s="10"/>
    </row>
    <row r="352" spans="1:16" ht="12" customHeight="1" x14ac:dyDescent="0.2">
      <c r="A352" s="123" t="s">
        <v>516</v>
      </c>
      <c r="B352" s="193"/>
      <c r="C352" s="180">
        <f>B$112</f>
        <v>170</v>
      </c>
      <c r="D352" s="4" t="s">
        <v>545</v>
      </c>
      <c r="E352" s="4"/>
      <c r="F352" s="10"/>
      <c r="G352" s="10"/>
      <c r="H352" s="193">
        <f>F350*C352</f>
        <v>0</v>
      </c>
      <c r="I352" s="195" t="s">
        <v>354</v>
      </c>
      <c r="J352" s="10"/>
      <c r="K352" s="10"/>
      <c r="L352" s="10"/>
      <c r="M352" s="10"/>
      <c r="N352" s="10"/>
      <c r="O352" s="10"/>
    </row>
    <row r="353" spans="1:16" ht="12" customHeight="1" x14ac:dyDescent="0.2">
      <c r="A353" s="15"/>
      <c r="B353" s="193"/>
      <c r="C353" s="4"/>
      <c r="D353" s="4"/>
      <c r="E353" s="4"/>
      <c r="F353" s="10"/>
      <c r="G353" s="10"/>
      <c r="H353" s="193"/>
      <c r="I353" s="195"/>
      <c r="J353" s="10"/>
      <c r="K353" s="10"/>
      <c r="L353" s="10"/>
      <c r="M353" s="10"/>
      <c r="N353" s="10"/>
      <c r="O353" s="10"/>
      <c r="P353" s="10"/>
    </row>
    <row r="354" spans="1:16" ht="12" customHeight="1" x14ac:dyDescent="0.2">
      <c r="A354" s="200" t="s">
        <v>548</v>
      </c>
      <c r="B354" s="193"/>
      <c r="C354" s="4"/>
      <c r="D354" s="4"/>
      <c r="E354" s="4"/>
      <c r="F354" s="10" t="s">
        <v>549</v>
      </c>
      <c r="G354" s="10"/>
      <c r="H354" s="193"/>
      <c r="I354" s="195"/>
      <c r="J354" s="10"/>
      <c r="K354" s="10"/>
      <c r="L354" s="10"/>
      <c r="M354" s="10"/>
      <c r="N354" s="10"/>
      <c r="O354" s="10"/>
      <c r="P354" s="10"/>
    </row>
    <row r="355" spans="1:16" ht="12" customHeight="1" x14ac:dyDescent="0.2">
      <c r="A355" s="123" t="s">
        <v>516</v>
      </c>
      <c r="B355" s="193"/>
      <c r="C355" s="180">
        <f>B$117</f>
        <v>10458.75</v>
      </c>
      <c r="D355" s="4" t="s">
        <v>302</v>
      </c>
      <c r="E355" s="4"/>
      <c r="F355" s="10">
        <f>Input!D157</f>
        <v>0</v>
      </c>
      <c r="G355" s="10"/>
      <c r="H355" s="193">
        <f>IF(F355&gt;0, C355,0)</f>
        <v>0</v>
      </c>
      <c r="I355" s="195" t="s">
        <v>354</v>
      </c>
      <c r="J355" s="10"/>
      <c r="K355" s="10"/>
      <c r="L355" s="10"/>
      <c r="M355" s="10"/>
      <c r="N355" s="10"/>
      <c r="O355" s="10"/>
    </row>
    <row r="356" spans="1:16" ht="12" customHeight="1" x14ac:dyDescent="0.2">
      <c r="A356" s="123"/>
      <c r="B356" s="193"/>
      <c r="C356" s="4"/>
      <c r="D356" s="4"/>
      <c r="E356" s="4"/>
      <c r="F356" s="10"/>
      <c r="G356" s="10"/>
      <c r="H356" s="193"/>
      <c r="I356" s="195"/>
      <c r="J356" s="10"/>
      <c r="K356" s="10"/>
      <c r="L356" s="10"/>
      <c r="M356" s="10"/>
      <c r="N356" s="10"/>
      <c r="O356" s="10"/>
      <c r="P356" s="10"/>
    </row>
    <row r="357" spans="1:16" ht="12" customHeight="1" x14ac:dyDescent="0.2">
      <c r="A357" s="200" t="s">
        <v>118</v>
      </c>
      <c r="B357" s="193"/>
      <c r="C357" s="4"/>
      <c r="D357" s="4"/>
      <c r="E357" s="4"/>
      <c r="F357" s="10" t="s">
        <v>338</v>
      </c>
      <c r="G357" s="10"/>
      <c r="H357" s="193"/>
      <c r="I357" s="195"/>
      <c r="J357" s="10"/>
      <c r="K357" s="10"/>
      <c r="L357" s="10"/>
      <c r="M357" s="10"/>
      <c r="N357" s="10"/>
      <c r="O357" s="10"/>
      <c r="P357" s="10"/>
    </row>
    <row r="358" spans="1:16" ht="12" customHeight="1" x14ac:dyDescent="0.2">
      <c r="A358" s="123" t="s">
        <v>550</v>
      </c>
      <c r="B358" s="193"/>
      <c r="C358" s="194">
        <v>90</v>
      </c>
      <c r="D358" s="4" t="s">
        <v>340</v>
      </c>
      <c r="E358" s="4"/>
      <c r="F358" s="10">
        <f>Input!D159</f>
        <v>0</v>
      </c>
      <c r="G358" s="10"/>
      <c r="H358" s="193">
        <f>F358/C358</f>
        <v>0</v>
      </c>
      <c r="I358" s="195" t="s">
        <v>454</v>
      </c>
      <c r="J358" s="10"/>
      <c r="K358" s="10"/>
      <c r="L358" s="10"/>
      <c r="M358" s="10"/>
      <c r="N358" s="10"/>
      <c r="O358" s="10"/>
      <c r="P358" s="10"/>
    </row>
    <row r="359" spans="1:16" ht="12" customHeight="1" x14ac:dyDescent="0.2">
      <c r="A359" s="123" t="s">
        <v>485</v>
      </c>
      <c r="B359" s="193"/>
      <c r="C359" s="180">
        <f>B100</f>
        <v>5.0625</v>
      </c>
      <c r="D359" s="4" t="s">
        <v>551</v>
      </c>
      <c r="E359" s="4"/>
      <c r="F359" s="10"/>
      <c r="G359" s="10"/>
      <c r="H359" s="193">
        <f>ROUNDUP(F358/15,0)*C359*Input!D165</f>
        <v>0</v>
      </c>
      <c r="I359" s="195" t="s">
        <v>354</v>
      </c>
      <c r="J359" s="10"/>
      <c r="K359" s="10"/>
      <c r="L359" s="10"/>
      <c r="M359" s="10"/>
      <c r="N359" s="10"/>
      <c r="O359" s="10"/>
    </row>
    <row r="360" spans="1:16" ht="12" customHeight="1" x14ac:dyDescent="0.2">
      <c r="A360" s="123" t="s">
        <v>355</v>
      </c>
      <c r="B360" s="193"/>
      <c r="C360" s="180">
        <f>B$105</f>
        <v>45.8</v>
      </c>
      <c r="D360" s="4" t="s">
        <v>356</v>
      </c>
      <c r="E360" s="4"/>
      <c r="F360" s="10"/>
      <c r="G360" s="10"/>
      <c r="H360" s="193">
        <f>(F358*C360)</f>
        <v>0</v>
      </c>
      <c r="I360" s="195" t="s">
        <v>354</v>
      </c>
      <c r="J360" s="10"/>
      <c r="K360" s="10"/>
      <c r="L360" s="10"/>
      <c r="M360" s="10"/>
      <c r="N360" s="10"/>
      <c r="O360" s="10"/>
    </row>
    <row r="361" spans="1:16" ht="12" customHeight="1" x14ac:dyDescent="0.2">
      <c r="A361" s="123"/>
      <c r="B361" s="193"/>
      <c r="C361" s="180"/>
      <c r="D361" s="4"/>
      <c r="E361" s="4"/>
      <c r="F361" s="10"/>
      <c r="G361" s="10"/>
      <c r="H361" s="193"/>
      <c r="I361" s="195"/>
      <c r="J361" s="10"/>
      <c r="K361" s="10"/>
      <c r="L361" s="10"/>
      <c r="M361" s="10"/>
      <c r="N361" s="10"/>
      <c r="O361" s="10"/>
    </row>
    <row r="362" spans="1:16" ht="12" customHeight="1" x14ac:dyDescent="0.2">
      <c r="A362" s="17" t="s">
        <v>552</v>
      </c>
      <c r="B362" s="193"/>
      <c r="C362" s="180"/>
      <c r="D362" s="4"/>
      <c r="E362" s="4"/>
      <c r="F362" s="10" t="s">
        <v>338</v>
      </c>
      <c r="G362" s="10" t="s">
        <v>353</v>
      </c>
      <c r="H362" s="193"/>
      <c r="I362" s="195"/>
      <c r="J362" s="10"/>
      <c r="K362" s="10"/>
      <c r="L362" s="10"/>
      <c r="M362" s="10"/>
      <c r="N362" s="10"/>
      <c r="O362" s="10"/>
    </row>
    <row r="363" spans="1:16" ht="12" customHeight="1" x14ac:dyDescent="0.2">
      <c r="A363" s="123" t="s">
        <v>550</v>
      </c>
      <c r="B363" s="193"/>
      <c r="C363" s="194">
        <v>45</v>
      </c>
      <c r="D363" s="4" t="s">
        <v>340</v>
      </c>
      <c r="E363" s="4"/>
      <c r="F363" s="10">
        <f>Input!D161</f>
        <v>0</v>
      </c>
      <c r="G363" s="10">
        <f>F363*5</f>
        <v>0</v>
      </c>
      <c r="H363" s="193">
        <f>G363/C363</f>
        <v>0</v>
      </c>
      <c r="I363" s="195" t="s">
        <v>454</v>
      </c>
      <c r="J363" s="10"/>
      <c r="K363" s="10"/>
      <c r="L363" s="10"/>
      <c r="M363" s="10"/>
      <c r="N363" s="10"/>
      <c r="O363" s="10"/>
    </row>
    <row r="364" spans="1:16" ht="12" customHeight="1" x14ac:dyDescent="0.2">
      <c r="A364" s="123" t="s">
        <v>485</v>
      </c>
      <c r="B364" s="193"/>
      <c r="C364" s="180">
        <f>B100</f>
        <v>5.0625</v>
      </c>
      <c r="D364" s="4" t="s">
        <v>553</v>
      </c>
      <c r="E364" s="4"/>
      <c r="F364" s="10"/>
      <c r="G364" s="10"/>
      <c r="H364" s="193">
        <f>G363*C364</f>
        <v>0</v>
      </c>
      <c r="I364" s="195" t="s">
        <v>354</v>
      </c>
      <c r="J364" s="10"/>
      <c r="K364" s="10"/>
      <c r="L364" s="10"/>
      <c r="M364" s="10"/>
      <c r="N364" s="10"/>
      <c r="O364" s="10"/>
    </row>
    <row r="365" spans="1:16" ht="12" customHeight="1" x14ac:dyDescent="0.2">
      <c r="A365" s="123" t="s">
        <v>554</v>
      </c>
      <c r="B365" s="193"/>
      <c r="C365" s="180">
        <v>0</v>
      </c>
      <c r="D365" s="4" t="s">
        <v>356</v>
      </c>
      <c r="E365" s="4"/>
      <c r="F365" s="10"/>
      <c r="G365" s="10"/>
      <c r="H365" s="193">
        <f>G363*C365</f>
        <v>0</v>
      </c>
      <c r="I365" s="195" t="s">
        <v>354</v>
      </c>
      <c r="J365" s="10"/>
      <c r="K365" s="10"/>
      <c r="L365" s="10"/>
      <c r="M365" s="10"/>
      <c r="N365" s="10"/>
      <c r="O365" s="10"/>
      <c r="P365" s="10"/>
    </row>
    <row r="366" spans="1:16" ht="12" customHeight="1" x14ac:dyDescent="0.2">
      <c r="A366" s="123"/>
      <c r="B366" s="193"/>
      <c r="C366" s="4"/>
      <c r="D366" s="4"/>
      <c r="E366" s="4"/>
      <c r="F366" s="10"/>
      <c r="G366" s="10"/>
      <c r="H366" s="193"/>
      <c r="I366" s="195"/>
      <c r="J366" s="10"/>
      <c r="K366" s="10"/>
      <c r="L366" s="10"/>
      <c r="M366" s="10"/>
      <c r="N366" s="10"/>
      <c r="O366" s="10"/>
      <c r="P366" s="10"/>
    </row>
    <row r="367" spans="1:16" ht="12" customHeight="1" x14ac:dyDescent="0.2">
      <c r="A367" s="17" t="s">
        <v>555</v>
      </c>
      <c r="B367" s="193"/>
      <c r="C367" s="4"/>
      <c r="D367" s="4"/>
      <c r="E367" s="4"/>
      <c r="F367" s="10" t="s">
        <v>395</v>
      </c>
      <c r="G367" s="10"/>
      <c r="H367" s="193"/>
      <c r="I367" s="195"/>
      <c r="J367" s="10"/>
      <c r="K367" s="10"/>
      <c r="L367" s="10"/>
      <c r="M367" s="10"/>
      <c r="N367" s="10"/>
      <c r="O367" s="10"/>
      <c r="P367" s="10"/>
    </row>
    <row r="368" spans="1:16" ht="12" customHeight="1" x14ac:dyDescent="0.2">
      <c r="A368" s="15" t="s">
        <v>556</v>
      </c>
      <c r="B368" s="193"/>
      <c r="C368" s="4">
        <v>1</v>
      </c>
      <c r="D368" s="4" t="s">
        <v>557</v>
      </c>
      <c r="E368" s="4"/>
      <c r="F368" s="10">
        <f>Input!D163</f>
        <v>0</v>
      </c>
      <c r="G368" s="10"/>
      <c r="H368" s="193">
        <f>F368*C368*E95</f>
        <v>0</v>
      </c>
      <c r="I368" s="195" t="s">
        <v>354</v>
      </c>
      <c r="J368" s="10"/>
      <c r="K368" s="10"/>
      <c r="L368" s="10"/>
      <c r="M368" s="10"/>
      <c r="N368" s="10"/>
      <c r="O368" s="10"/>
      <c r="P368" s="10"/>
    </row>
    <row r="369" spans="1:16" ht="12" customHeight="1" x14ac:dyDescent="0.2">
      <c r="A369" s="15" t="s">
        <v>558</v>
      </c>
      <c r="B369" s="193"/>
      <c r="C369" s="208">
        <v>200</v>
      </c>
      <c r="D369" s="4" t="s">
        <v>559</v>
      </c>
      <c r="E369" s="4"/>
      <c r="F369" s="10"/>
      <c r="G369" s="10"/>
      <c r="H369" s="193">
        <f>F368*C369</f>
        <v>0</v>
      </c>
      <c r="I369" s="195" t="s">
        <v>354</v>
      </c>
      <c r="J369" s="10"/>
      <c r="K369" s="10"/>
      <c r="L369" s="10"/>
      <c r="M369" s="10"/>
      <c r="N369" s="10"/>
      <c r="O369" s="10"/>
      <c r="P369" s="10"/>
    </row>
    <row r="370" spans="1:16" ht="12" customHeight="1" x14ac:dyDescent="0.2">
      <c r="A370" s="15" t="s">
        <v>560</v>
      </c>
      <c r="B370" s="193"/>
      <c r="C370" s="180">
        <f>B100</f>
        <v>5.0625</v>
      </c>
      <c r="D370" s="4" t="s">
        <v>561</v>
      </c>
      <c r="E370" s="4"/>
      <c r="F370" s="10"/>
      <c r="G370" s="10"/>
      <c r="H370" s="193">
        <f>ROUNDUP(F368/5,0)*C370*Input!D165</f>
        <v>0</v>
      </c>
      <c r="I370" s="195" t="s">
        <v>354</v>
      </c>
      <c r="J370" s="10"/>
      <c r="K370" s="10"/>
      <c r="L370" s="10"/>
      <c r="M370" s="10"/>
      <c r="N370" s="10"/>
      <c r="O370" s="10"/>
      <c r="P370" s="10"/>
    </row>
    <row r="371" spans="1:16" ht="12" customHeight="1" x14ac:dyDescent="0.2">
      <c r="A371" s="15" t="s">
        <v>562</v>
      </c>
      <c r="B371" s="193"/>
      <c r="C371" s="180">
        <f>B118</f>
        <v>0</v>
      </c>
      <c r="D371" s="4" t="s">
        <v>559</v>
      </c>
      <c r="E371" s="4"/>
      <c r="F371" s="10"/>
      <c r="G371" s="10"/>
      <c r="H371" s="193">
        <f>Input!D163*Calculations!C371</f>
        <v>0</v>
      </c>
      <c r="I371" s="195" t="s">
        <v>354</v>
      </c>
      <c r="J371" s="10"/>
      <c r="K371" s="10"/>
      <c r="L371" s="10"/>
      <c r="M371" s="10"/>
      <c r="N371" s="10"/>
      <c r="O371" s="10"/>
      <c r="P371" s="10"/>
    </row>
    <row r="372" spans="1:16" ht="12" customHeight="1" x14ac:dyDescent="0.2">
      <c r="A372" s="4"/>
      <c r="B372" s="4"/>
      <c r="C372" s="4"/>
      <c r="D372" s="4"/>
      <c r="E372" s="4"/>
      <c r="F372" s="4"/>
      <c r="G372" s="4"/>
      <c r="H372" s="193"/>
      <c r="I372" s="209"/>
      <c r="J372" s="10"/>
      <c r="K372" s="10"/>
      <c r="L372" s="10"/>
      <c r="M372" s="10"/>
      <c r="N372" s="10"/>
      <c r="O372" s="10"/>
      <c r="P372" s="10"/>
    </row>
    <row r="373" spans="1:16" ht="12" customHeight="1" x14ac:dyDescent="0.2">
      <c r="A373" s="17" t="s">
        <v>563</v>
      </c>
      <c r="B373" s="4"/>
      <c r="C373" s="4"/>
      <c r="D373" s="4"/>
      <c r="E373" s="4"/>
      <c r="F373" s="10" t="s">
        <v>564</v>
      </c>
      <c r="G373" s="10"/>
      <c r="H373" s="193"/>
      <c r="I373" s="210"/>
      <c r="J373" s="10"/>
      <c r="K373" s="10"/>
      <c r="L373" s="10"/>
      <c r="M373" s="10"/>
      <c r="N373" s="10"/>
      <c r="O373" s="10"/>
      <c r="P373" s="10"/>
    </row>
    <row r="374" spans="1:16" ht="12" customHeight="1" x14ac:dyDescent="0.2">
      <c r="A374" s="15" t="s">
        <v>565</v>
      </c>
      <c r="B374" s="193"/>
      <c r="C374" s="4">
        <v>3.5</v>
      </c>
      <c r="D374" s="4" t="s">
        <v>566</v>
      </c>
      <c r="E374" s="4"/>
      <c r="F374" s="201">
        <f>SUM(B125:B371)</f>
        <v>0</v>
      </c>
      <c r="G374" s="10"/>
      <c r="H374" s="193">
        <f>IF(F374&gt;1,ROUNDUP(F374/C374,0),0)</f>
        <v>0</v>
      </c>
      <c r="I374" s="210" t="s">
        <v>333</v>
      </c>
      <c r="J374" s="10"/>
      <c r="K374" s="10"/>
      <c r="L374" s="10"/>
      <c r="M374" s="10"/>
      <c r="N374" s="10"/>
      <c r="O374" s="10"/>
      <c r="P374" s="10"/>
    </row>
    <row r="375" spans="1:16" ht="12" customHeight="1" x14ac:dyDescent="0.2">
      <c r="A375" s="15" t="s">
        <v>567</v>
      </c>
      <c r="B375" s="4"/>
      <c r="C375" s="4">
        <v>2.5</v>
      </c>
      <c r="D375" s="4" t="s">
        <v>566</v>
      </c>
      <c r="E375" s="4"/>
      <c r="F375" s="201">
        <f>F374</f>
        <v>0</v>
      </c>
      <c r="G375" s="10"/>
      <c r="H375" s="193">
        <f>IF(F375&gt;1,ROUNDUP(F375/C375,0),0)</f>
        <v>0</v>
      </c>
      <c r="I375" s="210" t="s">
        <v>333</v>
      </c>
      <c r="J375" s="10"/>
      <c r="K375" s="10"/>
      <c r="L375" s="10"/>
      <c r="M375" s="10"/>
      <c r="N375" s="10"/>
      <c r="O375" s="10"/>
      <c r="P375" s="10"/>
    </row>
    <row r="376" spans="1:16" ht="12" customHeight="1" x14ac:dyDescent="0.2">
      <c r="A376" s="15" t="s">
        <v>568</v>
      </c>
      <c r="B376" s="4"/>
      <c r="C376" s="4">
        <v>1</v>
      </c>
      <c r="D376" s="4" t="s">
        <v>566</v>
      </c>
      <c r="E376" s="4"/>
      <c r="F376" s="201">
        <f>F374</f>
        <v>0</v>
      </c>
      <c r="G376" s="10"/>
      <c r="H376" s="193">
        <f>(F376/C376)*E95</f>
        <v>0</v>
      </c>
      <c r="I376" s="210" t="s">
        <v>354</v>
      </c>
      <c r="J376" s="10"/>
      <c r="K376" s="10"/>
      <c r="L376" s="10"/>
      <c r="M376" s="10"/>
      <c r="N376" s="10"/>
      <c r="O376" s="10"/>
      <c r="P376" s="10"/>
    </row>
    <row r="377" spans="1:16" ht="12" customHeight="1" x14ac:dyDescent="0.2">
      <c r="A377" s="15" t="s">
        <v>569</v>
      </c>
      <c r="B377" s="193"/>
      <c r="C377" s="180">
        <f>B119</f>
        <v>100</v>
      </c>
      <c r="D377" s="4" t="s">
        <v>570</v>
      </c>
      <c r="E377" s="4"/>
      <c r="F377" s="201">
        <f>F374</f>
        <v>0</v>
      </c>
      <c r="G377" s="10"/>
      <c r="H377" s="193">
        <f>F375*C377</f>
        <v>0</v>
      </c>
      <c r="I377" s="210" t="s">
        <v>354</v>
      </c>
      <c r="J377" s="10"/>
      <c r="K377" s="10"/>
      <c r="L377" s="10"/>
      <c r="M377" s="10"/>
      <c r="N377" s="10"/>
      <c r="O377" s="10"/>
      <c r="P377" s="10"/>
    </row>
    <row r="378" spans="1:16" ht="12" customHeight="1" x14ac:dyDescent="0.2">
      <c r="A378" s="4"/>
      <c r="B378" s="4"/>
      <c r="C378" s="4"/>
      <c r="D378" s="4"/>
      <c r="E378" s="4"/>
      <c r="F378" s="4"/>
      <c r="G378" s="4"/>
      <c r="H378" s="193"/>
      <c r="I378" s="210"/>
      <c r="J378" s="10"/>
      <c r="K378" s="10"/>
      <c r="L378" s="10"/>
      <c r="M378" s="10"/>
      <c r="N378" s="10"/>
      <c r="O378" s="10"/>
      <c r="P378" s="10"/>
    </row>
    <row r="379" spans="1:16" ht="12" customHeight="1" x14ac:dyDescent="0.2">
      <c r="A379" s="12" t="s">
        <v>571</v>
      </c>
      <c r="B379" s="4"/>
      <c r="C379" s="4"/>
      <c r="D379" s="4"/>
      <c r="E379" s="4"/>
      <c r="F379" s="4"/>
      <c r="G379" s="4"/>
      <c r="H379" s="193"/>
      <c r="I379" s="210"/>
      <c r="J379" s="10"/>
      <c r="K379" s="10"/>
      <c r="L379" s="10"/>
      <c r="M379" s="10"/>
      <c r="N379" s="10"/>
      <c r="O379" s="10"/>
      <c r="P379" s="10"/>
    </row>
    <row r="380" spans="1:16" ht="12" customHeight="1" thickBot="1" x14ac:dyDescent="0.25">
      <c r="A380" s="16" t="s">
        <v>572</v>
      </c>
      <c r="B380" s="14"/>
      <c r="C380" s="14"/>
      <c r="D380" s="14"/>
      <c r="E380" s="14"/>
      <c r="F380" s="211"/>
      <c r="G380" s="211"/>
      <c r="H380" s="212">
        <f>H374+H375</f>
        <v>0</v>
      </c>
      <c r="I380" s="213" t="s">
        <v>333</v>
      </c>
      <c r="J380" s="10"/>
      <c r="K380" s="10"/>
      <c r="L380" s="10"/>
      <c r="M380" s="10"/>
      <c r="N380" s="10"/>
      <c r="O380" s="10"/>
      <c r="P380" s="10"/>
    </row>
    <row r="381" spans="1:16" ht="12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10"/>
      <c r="K381" s="10"/>
      <c r="L381" s="10"/>
      <c r="M381" s="10"/>
      <c r="N381" s="10"/>
      <c r="O381" s="10"/>
      <c r="P381" s="10"/>
    </row>
    <row r="382" spans="1:16" ht="12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6" ht="12" customHeight="1" thickBo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6" ht="12" customHeight="1" x14ac:dyDescent="0.25">
      <c r="A384" s="13" t="s">
        <v>573</v>
      </c>
      <c r="B384" s="214"/>
      <c r="C384" s="214"/>
      <c r="D384" s="121"/>
      <c r="E384" s="121"/>
      <c r="F384" s="121"/>
      <c r="G384" s="121"/>
      <c r="H384" s="121"/>
      <c r="I384" s="121"/>
      <c r="J384" s="121"/>
      <c r="K384" s="121"/>
      <c r="L384" s="146"/>
    </row>
    <row r="385" spans="1:15" ht="12" customHeight="1" x14ac:dyDescent="0.2">
      <c r="A385" s="15" t="s">
        <v>574</v>
      </c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164"/>
    </row>
    <row r="386" spans="1:15" ht="12" customHeight="1" x14ac:dyDescent="0.2">
      <c r="A386" s="15"/>
      <c r="B386" s="215" t="s">
        <v>333</v>
      </c>
      <c r="C386" s="215" t="s">
        <v>575</v>
      </c>
      <c r="D386" s="215" t="s">
        <v>576</v>
      </c>
      <c r="E386" s="215" t="s">
        <v>577</v>
      </c>
      <c r="F386" s="215" t="s">
        <v>578</v>
      </c>
      <c r="G386" s="215" t="s">
        <v>579</v>
      </c>
      <c r="H386" s="215" t="s">
        <v>580</v>
      </c>
      <c r="I386" s="215" t="s">
        <v>581</v>
      </c>
      <c r="J386" s="216" t="s">
        <v>582</v>
      </c>
      <c r="K386" s="216" t="s">
        <v>583</v>
      </c>
      <c r="L386" s="217" t="s">
        <v>269</v>
      </c>
    </row>
    <row r="387" spans="1:15" ht="12" customHeight="1" x14ac:dyDescent="0.2">
      <c r="A387" s="15" t="s">
        <v>584</v>
      </c>
      <c r="B387" s="10">
        <f>ROUNDUP(H217,0)</f>
        <v>0</v>
      </c>
      <c r="C387" s="4">
        <f>ROUNDUP(IF(B387&gt;0, 2*Input!$D$167/35,0),0)</f>
        <v>0</v>
      </c>
      <c r="D387" s="10">
        <f t="shared" ref="D387:D399" si="12">B387+C387</f>
        <v>0</v>
      </c>
      <c r="E387" s="218">
        <f>IF(D387&lt;=8,IF(D387&gt;0,$G$47,0),0)</f>
        <v>0</v>
      </c>
      <c r="F387" s="218">
        <f>IF(D387&gt;8, IF(D387&lt;40, (Calculations!$G$47*D387/8), 0), 0)</f>
        <v>0</v>
      </c>
      <c r="G387" s="218">
        <f>IF(D387&gt;=40,IF(D387&lt;=160,Calculations!$H$47*D387/40,0),0)</f>
        <v>0</v>
      </c>
      <c r="H387" s="218">
        <f>IF(D387&gt;=160, (Calculations!$I$47*D387/160), 0)</f>
        <v>0</v>
      </c>
      <c r="I387" s="218">
        <f t="shared" ref="I387:I399" si="13">E387+F387+G387+H387</f>
        <v>0</v>
      </c>
      <c r="J387" s="218">
        <f>B387*[1]Calculations!$I$63</f>
        <v>0</v>
      </c>
      <c r="K387" s="218">
        <f>B387*[1]Calculations!$E$88</f>
        <v>0</v>
      </c>
      <c r="L387" s="219">
        <f>SUM(I387:K387)</f>
        <v>0</v>
      </c>
      <c r="M387" s="15"/>
      <c r="N387" s="4"/>
      <c r="O387" s="4"/>
    </row>
    <row r="388" spans="1:15" ht="12" customHeight="1" x14ac:dyDescent="0.2">
      <c r="A388" s="15" t="s">
        <v>585</v>
      </c>
      <c r="B388" s="10">
        <f>H148</f>
        <v>0</v>
      </c>
      <c r="C388" s="4">
        <f>ROUNDUP(IF(B388&gt;0, 2*Input!$D$167/35,0),0)</f>
        <v>0</v>
      </c>
      <c r="D388" s="10">
        <f t="shared" si="12"/>
        <v>0</v>
      </c>
      <c r="E388" s="218">
        <f>IF(D388&lt;=8,IF(D388&gt;0,$G$48,0),0)</f>
        <v>0</v>
      </c>
      <c r="F388" s="218">
        <f>IF(D388&gt;8, IF(D388&lt;40, (Calculations!$G$48*D388/8), 0), 0)</f>
        <v>0</v>
      </c>
      <c r="G388" s="218">
        <f>IF(D388&gt;40,IF(D388&lt;=160,Calculations!$H$48*D388/40,0),0)</f>
        <v>0</v>
      </c>
      <c r="H388" s="218">
        <f>IF(D388&gt;=160, (Calculations!$I$48*D388/160), 0)</f>
        <v>0</v>
      </c>
      <c r="I388" s="218">
        <f t="shared" si="13"/>
        <v>0</v>
      </c>
      <c r="J388" s="218">
        <f>B388*[1]Calculations!$I$64</f>
        <v>0</v>
      </c>
      <c r="K388" s="218">
        <f>B388*[1]Calculations!$E$90</f>
        <v>0</v>
      </c>
      <c r="L388" s="219">
        <f t="shared" ref="L388:L399" si="14">SUM(I388:K388)</f>
        <v>0</v>
      </c>
      <c r="M388" s="15"/>
      <c r="N388" s="4"/>
      <c r="O388" s="4"/>
    </row>
    <row r="389" spans="1:15" ht="12" customHeight="1" x14ac:dyDescent="0.2">
      <c r="A389" s="15" t="s">
        <v>586</v>
      </c>
      <c r="B389" s="10">
        <f>ROUNDUP(H138+H301,0)</f>
        <v>0</v>
      </c>
      <c r="C389" s="4">
        <f>ROUNDUP(IF(B389&gt;0, 2*Input!$D$167/35,0),0)</f>
        <v>0</v>
      </c>
      <c r="D389" s="10">
        <f t="shared" si="12"/>
        <v>0</v>
      </c>
      <c r="E389" s="218">
        <f>IF(D389&lt;=8,IF(D389&gt;0,Calculations!$G$49,0),0)</f>
        <v>0</v>
      </c>
      <c r="F389" s="218">
        <f>IF(D389&gt;8, IF(D389&lt;40, (Calculations!$G$49*D389/8), 0), 0)</f>
        <v>0</v>
      </c>
      <c r="G389" s="218">
        <f>IF(D389&gt;=40,IF(D389&lt;=160,Calculations!$H$49*D389/40,0),0)</f>
        <v>0</v>
      </c>
      <c r="H389" s="218">
        <f>IF(D389&gt;=160, (Calculations!$I$49*D389/160), 0)</f>
        <v>0</v>
      </c>
      <c r="I389" s="218">
        <f t="shared" si="13"/>
        <v>0</v>
      </c>
      <c r="J389" s="218">
        <f>B389*[1]Calculations!$I$65</f>
        <v>0</v>
      </c>
      <c r="K389" s="218">
        <f>B389*[1]Calculations!$E$86</f>
        <v>0</v>
      </c>
      <c r="L389" s="219">
        <f t="shared" si="14"/>
        <v>0</v>
      </c>
      <c r="M389" s="15"/>
      <c r="N389" s="4"/>
      <c r="O389" s="4"/>
    </row>
    <row r="390" spans="1:15" ht="12" customHeight="1" x14ac:dyDescent="0.2">
      <c r="A390" s="15" t="s">
        <v>587</v>
      </c>
      <c r="B390" s="10">
        <f>ROUNDUP(H186+H203+H212+H221+H222+H226+H247+H257+H285+H358+H363,0)</f>
        <v>0</v>
      </c>
      <c r="C390" s="4">
        <f>ROUNDUP(IF(B390&gt;0, 2*Input!$D$167/35,0),0)</f>
        <v>0</v>
      </c>
      <c r="D390" s="10">
        <f t="shared" si="12"/>
        <v>0</v>
      </c>
      <c r="E390" s="218">
        <f>IF(D390&lt;=8,IF(D390&gt;0,Calculations!$G$50,0),0)</f>
        <v>0</v>
      </c>
      <c r="F390" s="218">
        <f>IF(D390&gt;8, IF(D390&lt;40, (Calculations!$G$50*D390/8), 0), 0)</f>
        <v>0</v>
      </c>
      <c r="G390" s="218">
        <f>IF(D390&gt;=40,IF(D390&lt;=160,Calculations!$H$50*D390/40,0),0)</f>
        <v>0</v>
      </c>
      <c r="H390" s="218">
        <f>IF(D390&gt;=160, (Calculations!$I$50*D390/160), 0)</f>
        <v>0</v>
      </c>
      <c r="I390" s="218">
        <f t="shared" si="13"/>
        <v>0</v>
      </c>
      <c r="J390" s="218">
        <f>B390*[1]Calculations!$I$66</f>
        <v>0</v>
      </c>
      <c r="K390" s="218">
        <f>B390*[1]Calculations!$E$88</f>
        <v>0</v>
      </c>
      <c r="L390" s="219">
        <f t="shared" si="14"/>
        <v>0</v>
      </c>
      <c r="M390" s="15"/>
      <c r="N390" s="4"/>
      <c r="O390" s="4"/>
    </row>
    <row r="391" spans="1:15" ht="12" customHeight="1" x14ac:dyDescent="0.2">
      <c r="A391" s="15" t="s">
        <v>588</v>
      </c>
      <c r="B391" s="10">
        <f>H374</f>
        <v>0</v>
      </c>
      <c r="C391" s="4">
        <f>ROUNDUP(IF(B391&gt;0, 2*Input!$D$167/35,0),0)</f>
        <v>0</v>
      </c>
      <c r="D391" s="10">
        <f t="shared" si="12"/>
        <v>0</v>
      </c>
      <c r="E391" s="218">
        <f>IF(D391&lt;=8,IF(D391&gt;0,Calculations!$G$51,0),0)</f>
        <v>0</v>
      </c>
      <c r="F391" s="218">
        <f>IF(D391&gt;8, IF(D391&lt;40, (Calculations!$G$51*D391/8), 0), 0)</f>
        <v>0</v>
      </c>
      <c r="G391" s="218">
        <f>IF(D391&gt;=40,IF(D391&lt;=160,Calculations!$H$51*D391/40,0),0)</f>
        <v>0</v>
      </c>
      <c r="H391" s="218">
        <f>IF(D391&gt;=160, (Calculations!$I$51*D391/160), 0)</f>
        <v>0</v>
      </c>
      <c r="I391" s="218">
        <f t="shared" si="13"/>
        <v>0</v>
      </c>
      <c r="J391" s="218">
        <f>B391*[1]Calculations!$I$67</f>
        <v>0</v>
      </c>
      <c r="K391" s="218">
        <f>B391*[1]Calculations!$E$87</f>
        <v>0</v>
      </c>
      <c r="L391" s="219">
        <f t="shared" si="14"/>
        <v>0</v>
      </c>
      <c r="M391" s="15"/>
      <c r="N391" s="4"/>
      <c r="O391" s="4"/>
    </row>
    <row r="392" spans="1:15" ht="12" customHeight="1" x14ac:dyDescent="0.2">
      <c r="A392" s="15" t="s">
        <v>589</v>
      </c>
      <c r="B392" s="10">
        <f>ROUNDUP(H128+H152+H165+H178+H201+H210+H225+H228+H256,0)</f>
        <v>0</v>
      </c>
      <c r="C392" s="4">
        <f>ROUNDUP(IF(B392&gt;0, 2*Input!$D$167/35,0),0)</f>
        <v>0</v>
      </c>
      <c r="D392" s="10">
        <f t="shared" si="12"/>
        <v>0</v>
      </c>
      <c r="E392" s="218">
        <f>IF(D392&lt;=8,IF(D392&gt;0,Calculations!$G$52,0),0)</f>
        <v>0</v>
      </c>
      <c r="F392" s="218">
        <f>IF(D392&gt;8, IF(D392&lt;40, (Calculations!$G$52*D392/8), 0), 0)</f>
        <v>0</v>
      </c>
      <c r="G392" s="218">
        <f>IF(D392&gt;=40,IF(D392&lt;=160,Calculations!$H$52*D392/40,0),0)</f>
        <v>0</v>
      </c>
      <c r="H392" s="218">
        <f>IF(D392&gt;=160, (Calculations!$I$52*D392/160), 0)</f>
        <v>0</v>
      </c>
      <c r="I392" s="218">
        <f t="shared" si="13"/>
        <v>0</v>
      </c>
      <c r="J392" s="218">
        <f>B392*[1]Calculations!$I$68</f>
        <v>0</v>
      </c>
      <c r="K392" s="218">
        <f>B392*[1]Calculations!$E$89</f>
        <v>0</v>
      </c>
      <c r="L392" s="219">
        <f t="shared" si="14"/>
        <v>0</v>
      </c>
      <c r="M392" s="15"/>
      <c r="N392" s="4"/>
      <c r="O392" s="4"/>
    </row>
    <row r="393" spans="1:15" ht="12" customHeight="1" x14ac:dyDescent="0.2">
      <c r="A393" s="15" t="s">
        <v>590</v>
      </c>
      <c r="B393" s="10">
        <f>ROUNDUP(H227,0)</f>
        <v>0</v>
      </c>
      <c r="C393" s="4">
        <f>ROUNDUP(IF(B393&gt;0, 2*Input!$D$167/35,0),0)</f>
        <v>0</v>
      </c>
      <c r="D393" s="10">
        <f t="shared" si="12"/>
        <v>0</v>
      </c>
      <c r="E393" s="218">
        <f>IF(D393&lt;=8,IF(D393&gt;0,Calculations!$G$53,0),0)</f>
        <v>0</v>
      </c>
      <c r="F393" s="218">
        <f>IF(D393&gt;8, IF(D393&lt;40, (Calculations!$G$53*D393/8), 0), 0)</f>
        <v>0</v>
      </c>
      <c r="G393" s="218">
        <f>IF(D393&gt;=40,IF(D393&lt;=160,Calculations!$H$53*D393/40,0),0)</f>
        <v>0</v>
      </c>
      <c r="H393" s="218">
        <f>IF(D393&gt;=160, (Calculations!$I$53*D393/160), 0)</f>
        <v>0</v>
      </c>
      <c r="I393" s="218">
        <f t="shared" si="13"/>
        <v>0</v>
      </c>
      <c r="J393" s="218">
        <f>B393*[1]Calculations!$I$69</f>
        <v>0</v>
      </c>
      <c r="K393" s="218">
        <f>B393*[1]Calculations!$E$91</f>
        <v>0</v>
      </c>
      <c r="L393" s="219">
        <f t="shared" si="14"/>
        <v>0</v>
      </c>
      <c r="M393" s="15"/>
      <c r="N393" s="4"/>
      <c r="O393" s="4"/>
    </row>
    <row r="394" spans="1:15" ht="12" customHeight="1" x14ac:dyDescent="0.2">
      <c r="A394" s="15" t="s">
        <v>591</v>
      </c>
      <c r="B394" s="10">
        <f>ROUNDUP(H140+H286,0)</f>
        <v>0</v>
      </c>
      <c r="C394" s="4">
        <f>ROUNDUP(IF(B394&gt;0, 2*Input!$D$167/35,0),0)</f>
        <v>0</v>
      </c>
      <c r="D394" s="10">
        <f t="shared" si="12"/>
        <v>0</v>
      </c>
      <c r="E394" s="218">
        <f>IF(D394&lt;=8,IF(D394&gt;0,Calculations!$G$54,0),0)</f>
        <v>0</v>
      </c>
      <c r="F394" s="218">
        <f>IF(D394&gt;8, IF(D394&lt;40, (Calculations!$G$54*D394/8), 0), 0)</f>
        <v>0</v>
      </c>
      <c r="G394" s="218">
        <f>IF(D394&gt;=40,IF(D394&lt;=160,Calculations!$H$54*D394/40,0),0)</f>
        <v>0</v>
      </c>
      <c r="H394" s="218">
        <f>IF(D394&gt;=160, (Calculations!$I$54*D394/160), 0)</f>
        <v>0</v>
      </c>
      <c r="I394" s="218">
        <f t="shared" si="13"/>
        <v>0</v>
      </c>
      <c r="J394" s="218">
        <f>B394*[1]Calculations!$I$70</f>
        <v>0</v>
      </c>
      <c r="K394" s="218">
        <f>B394*[1]Calculations!$E$88</f>
        <v>0</v>
      </c>
      <c r="L394" s="219">
        <f t="shared" si="14"/>
        <v>0</v>
      </c>
      <c r="M394" s="15"/>
      <c r="N394" s="4"/>
      <c r="O394" s="4"/>
    </row>
    <row r="395" spans="1:15" ht="12" customHeight="1" x14ac:dyDescent="0.2">
      <c r="A395" s="15" t="s">
        <v>592</v>
      </c>
      <c r="B395" s="10">
        <f>ROUNDUP(H375,0)</f>
        <v>0</v>
      </c>
      <c r="C395" s="4">
        <f>ROUNDUP(IF(B395&gt;0, 2*Input!$D$167/35,0),0)</f>
        <v>0</v>
      </c>
      <c r="D395" s="10">
        <f t="shared" si="12"/>
        <v>0</v>
      </c>
      <c r="E395" s="218">
        <f>IF(D395&lt;=8,IF(D395&gt;0,Calculations!$G$55,0),0)</f>
        <v>0</v>
      </c>
      <c r="F395" s="218">
        <f>IF(D395&gt;8, IF(D395&lt;40, (Calculations!$G$55*D395/8), 0), 0)</f>
        <v>0</v>
      </c>
      <c r="G395" s="218">
        <f>IF(D395&gt;=40,IF(D395&lt;=160,Calculations!$H$55*D395/40,0),0)</f>
        <v>0</v>
      </c>
      <c r="H395" s="218">
        <f>IF(D395&gt;=160, (Calculations!$I$55*D395/160), 0)</f>
        <v>0</v>
      </c>
      <c r="I395" s="218">
        <f t="shared" si="13"/>
        <v>0</v>
      </c>
      <c r="J395" s="218">
        <f>B395*[1]Calculations!$I$71</f>
        <v>0</v>
      </c>
      <c r="K395" s="218">
        <f>B395*$E$88</f>
        <v>0</v>
      </c>
      <c r="L395" s="219">
        <f t="shared" si="14"/>
        <v>0</v>
      </c>
      <c r="M395" s="15"/>
      <c r="N395" s="4"/>
      <c r="O395" s="4"/>
    </row>
    <row r="396" spans="1:15" ht="12" customHeight="1" x14ac:dyDescent="0.2">
      <c r="A396" s="15" t="s">
        <v>593</v>
      </c>
      <c r="B396" s="10">
        <f>ROUNDUP(H380,0)</f>
        <v>0</v>
      </c>
      <c r="C396" s="4">
        <f>ROUNDUP(IF(B396&gt;0, 2*Input!$D$167/35,0),0)</f>
        <v>0</v>
      </c>
      <c r="D396" s="10">
        <f t="shared" si="12"/>
        <v>0</v>
      </c>
      <c r="E396" s="218">
        <f>IF(D396&lt;=8,IF(D396&gt;0,Calculations!$G$56,0),0)</f>
        <v>0</v>
      </c>
      <c r="F396" s="218">
        <f>IF(D396&gt;8, IF(D396&lt;40, (Calculations!$G$56*D396/8), 0), 0)</f>
        <v>0</v>
      </c>
      <c r="G396" s="218">
        <f>IF(D396&gt;=40,IF(D396&lt;=160,Calculations!$H$56*D396/40,0),0)</f>
        <v>0</v>
      </c>
      <c r="H396" s="218">
        <f>IF(D396&gt;=160, (Calculations!$I$56*D396/160), 0)</f>
        <v>0</v>
      </c>
      <c r="I396" s="218">
        <f t="shared" si="13"/>
        <v>0</v>
      </c>
      <c r="J396" s="218">
        <f>B396*[1]Calculations!$I$72</f>
        <v>0</v>
      </c>
      <c r="K396" s="218">
        <f>B396*[1]Calculations!$E$92</f>
        <v>0</v>
      </c>
      <c r="L396" s="219">
        <f t="shared" si="14"/>
        <v>0</v>
      </c>
      <c r="M396" s="15"/>
      <c r="N396" s="4"/>
      <c r="O396" s="4"/>
    </row>
    <row r="397" spans="1:15" ht="12" customHeight="1" x14ac:dyDescent="0.2">
      <c r="A397" s="4" t="s">
        <v>594</v>
      </c>
      <c r="B397" s="10">
        <f>H248</f>
        <v>0</v>
      </c>
      <c r="C397" s="4">
        <f>ROUNDUP(IF(B397&gt;0, 2*Input!$D$167/35,0),0)</f>
        <v>0</v>
      </c>
      <c r="D397" s="10">
        <f t="shared" si="12"/>
        <v>0</v>
      </c>
      <c r="E397" s="218">
        <f>IF(D397&lt;=8,IF(D397&gt;0,Calculations!$G$57,0),0)</f>
        <v>0</v>
      </c>
      <c r="F397" s="218">
        <f>IF(D397&gt;8, IF(D397&lt;40, (Calculations!$G$57*D397/8), 0), 0)</f>
        <v>0</v>
      </c>
      <c r="G397" s="218">
        <f>IF(D397&gt;=40,IF(D397&lt;=160,Calculations!$H$57*D397/40,0),0)</f>
        <v>0</v>
      </c>
      <c r="H397" s="218">
        <f>IF(D397&gt;=160, (Calculations!$I$57*D397/160), 0)</f>
        <v>0</v>
      </c>
      <c r="I397" s="218">
        <f t="shared" si="13"/>
        <v>0</v>
      </c>
      <c r="J397" s="218">
        <f>B397*[1]Calculations!$I$73</f>
        <v>0</v>
      </c>
      <c r="K397" s="218">
        <f>B397*[1]Calculations!$E$95</f>
        <v>0</v>
      </c>
      <c r="L397" s="219">
        <f t="shared" si="14"/>
        <v>0</v>
      </c>
      <c r="M397" s="15"/>
      <c r="N397" s="4"/>
      <c r="O397" s="4"/>
    </row>
    <row r="398" spans="1:15" ht="12" customHeight="1" x14ac:dyDescent="0.2">
      <c r="A398" s="15" t="s">
        <v>595</v>
      </c>
      <c r="B398" s="10">
        <f>ROUNDUP(H266+H303+H330,0)</f>
        <v>0</v>
      </c>
      <c r="C398" s="4">
        <f>ROUNDUP(IF(B398&gt;0, 2*Input!$D$167/35,0),0)</f>
        <v>0</v>
      </c>
      <c r="D398" s="10">
        <f t="shared" si="12"/>
        <v>0</v>
      </c>
      <c r="E398" s="218">
        <f>IF(D398&lt;=8,IF(D398&gt;0,Calculations!$G$58,0),0)</f>
        <v>0</v>
      </c>
      <c r="F398" s="218">
        <f>IF(D398&gt;8, IF(D398&lt;40, (Calculations!$G$58*D398/8), 0), 0)</f>
        <v>0</v>
      </c>
      <c r="G398" s="218">
        <f>IF(D398&gt;=40,IF(D398&lt;=160,Calculations!$H$58*D398/40,0),0)</f>
        <v>0</v>
      </c>
      <c r="H398" s="218">
        <f>IF(D398&gt;=160, (Calculations!$I$58*D398/160), 0)</f>
        <v>0</v>
      </c>
      <c r="I398" s="218">
        <f t="shared" si="13"/>
        <v>0</v>
      </c>
      <c r="J398" s="218">
        <f>B398*[1]Calculations!$I$74</f>
        <v>0</v>
      </c>
      <c r="K398" s="218">
        <f>B398*[1]Calculations!$E$88</f>
        <v>0</v>
      </c>
      <c r="L398" s="219">
        <f t="shared" si="14"/>
        <v>0</v>
      </c>
      <c r="M398" s="15"/>
      <c r="N398" s="4"/>
      <c r="O398" s="4"/>
    </row>
    <row r="399" spans="1:15" ht="12" customHeight="1" x14ac:dyDescent="0.2">
      <c r="A399" s="15" t="s">
        <v>596</v>
      </c>
      <c r="B399" s="10">
        <f>H267</f>
        <v>0</v>
      </c>
      <c r="C399" s="4">
        <f>ROUNDUP(IF(B399&gt;0, 2*Input!$D$167/35,0),0)</f>
        <v>0</v>
      </c>
      <c r="D399" s="10">
        <f t="shared" si="12"/>
        <v>0</v>
      </c>
      <c r="E399" s="218">
        <f>IF(D399&lt;=8,IF(D399&gt;0,Calculations!$G$59,0),0)</f>
        <v>0</v>
      </c>
      <c r="F399" s="218">
        <f>IF(D399&gt;8, IF(D399&lt;40, (Calculations!$G$59*D399/8), 0), 0)</f>
        <v>0</v>
      </c>
      <c r="G399" s="218">
        <f>IF(D399&gt;=40,IF(D399&lt;=160,Calculations!$H$59*D399/40,0),0)</f>
        <v>0</v>
      </c>
      <c r="H399" s="218">
        <f>IF(D399&gt;=160, (Calculations!$I$59*D399/160), 0)</f>
        <v>0</v>
      </c>
      <c r="I399" s="218">
        <f t="shared" si="13"/>
        <v>0</v>
      </c>
      <c r="J399" s="218">
        <f>B399*[1]Calculations!$I$75</f>
        <v>0</v>
      </c>
      <c r="K399" s="218">
        <f>B399*[1]Calculations!$E$94</f>
        <v>0</v>
      </c>
      <c r="L399" s="219">
        <f t="shared" si="14"/>
        <v>0</v>
      </c>
      <c r="M399" s="4"/>
      <c r="N399" s="4"/>
      <c r="O399" s="4"/>
    </row>
    <row r="400" spans="1:15" ht="12" customHeight="1" x14ac:dyDescent="0.2">
      <c r="A400" s="15" t="s">
        <v>597</v>
      </c>
      <c r="B400" s="218">
        <f>H191+H194+H215+H220+H249+H250+H268+H297+H304+H310+H329+H331+H368+H376</f>
        <v>0</v>
      </c>
      <c r="C400" s="4"/>
      <c r="D400" s="10"/>
      <c r="E400" s="218"/>
      <c r="F400" s="218"/>
      <c r="G400" s="218"/>
      <c r="H400" s="218"/>
      <c r="I400" s="218"/>
      <c r="J400" s="218"/>
      <c r="K400" s="218"/>
      <c r="L400" s="220">
        <f>B400+K400</f>
        <v>0</v>
      </c>
    </row>
    <row r="401" spans="1:12" ht="12" customHeight="1" x14ac:dyDescent="0.2">
      <c r="A401" s="15" t="s">
        <v>598</v>
      </c>
      <c r="B401" s="10"/>
      <c r="C401" s="4"/>
      <c r="D401" s="10"/>
      <c r="E401" s="218"/>
      <c r="F401" s="218"/>
      <c r="G401" s="218"/>
      <c r="H401" s="218"/>
      <c r="I401" s="218"/>
      <c r="J401" s="218"/>
      <c r="K401" s="218"/>
      <c r="L401" s="219">
        <f>SUM(L387:L400)</f>
        <v>0</v>
      </c>
    </row>
    <row r="402" spans="1:12" ht="12" customHeight="1" x14ac:dyDescent="0.2">
      <c r="A402" s="4"/>
      <c r="B402" s="4"/>
      <c r="C402" s="4"/>
      <c r="D402" s="4"/>
      <c r="E402" s="218"/>
      <c r="F402" s="218"/>
      <c r="G402" s="218"/>
      <c r="H402" s="218"/>
      <c r="I402" s="218"/>
      <c r="J402" s="218"/>
      <c r="K402" s="218"/>
      <c r="L402" s="220"/>
    </row>
    <row r="403" spans="1:12" ht="12" customHeight="1" x14ac:dyDescent="0.2">
      <c r="A403" s="15" t="s">
        <v>599</v>
      </c>
      <c r="B403" s="4"/>
      <c r="C403" s="4"/>
      <c r="D403" s="4"/>
      <c r="E403" s="218"/>
      <c r="F403" s="218"/>
      <c r="G403" s="218"/>
      <c r="H403" s="218"/>
      <c r="I403" s="218"/>
      <c r="J403" s="218"/>
      <c r="K403" s="218"/>
      <c r="L403" s="219"/>
    </row>
    <row r="404" spans="1:12" ht="12" customHeight="1" x14ac:dyDescent="0.2">
      <c r="A404" s="123" t="s">
        <v>600</v>
      </c>
      <c r="B404" s="4"/>
      <c r="C404" s="4"/>
      <c r="D404" s="218">
        <f>SUM(C387+C388+C389+C390+C391+C392+C393+C394+C395+C396+C397+C398+C399)*B103</f>
        <v>0</v>
      </c>
      <c r="E404" s="4"/>
      <c r="F404" s="4"/>
      <c r="G404" s="4"/>
      <c r="H404" s="4"/>
      <c r="I404" s="4"/>
      <c r="J404" s="4"/>
      <c r="K404" s="4"/>
      <c r="L404" s="164"/>
    </row>
    <row r="405" spans="1:12" ht="12" customHeight="1" x14ac:dyDescent="0.2">
      <c r="A405" s="123" t="s">
        <v>601</v>
      </c>
      <c r="B405" s="4"/>
      <c r="C405" s="4"/>
      <c r="D405" s="218">
        <f>IF(Input!H73="Yes",Calculations!F206*B99+1000,0)+IF(Input!H74="Yes",Calculations!F207*B99,0)+IF(Input!H75="Yes",Calculations!F208*B99,0)+IF(Input!H76="Yes",Calculations!F209*B99,0)</f>
        <v>0</v>
      </c>
      <c r="E405" s="4"/>
      <c r="F405" s="4"/>
      <c r="G405" s="4"/>
      <c r="H405" s="4"/>
      <c r="I405" s="4"/>
      <c r="J405" s="4"/>
      <c r="K405" s="4"/>
      <c r="L405" s="164"/>
    </row>
    <row r="406" spans="1:12" ht="12" customHeight="1" x14ac:dyDescent="0.2">
      <c r="A406" s="123" t="s">
        <v>602</v>
      </c>
      <c r="B406" s="4"/>
      <c r="C406" s="4"/>
      <c r="D406" s="218">
        <f>H323+H337+H342+H350+H369+H302</f>
        <v>0</v>
      </c>
      <c r="E406" s="4"/>
      <c r="F406" s="4"/>
      <c r="G406" s="4"/>
      <c r="H406" s="4"/>
      <c r="I406" s="4"/>
      <c r="J406" s="4"/>
      <c r="K406" s="4"/>
      <c r="L406" s="164"/>
    </row>
    <row r="407" spans="1:12" ht="12" customHeight="1" x14ac:dyDescent="0.2">
      <c r="A407" s="123" t="s">
        <v>603</v>
      </c>
      <c r="B407" s="4"/>
      <c r="C407" s="4"/>
      <c r="D407" s="218">
        <f>H141+H252+H259+H288+H305+H311+H324+H332+H338+H343+H351+H359+H370+H298</f>
        <v>0</v>
      </c>
      <c r="E407" s="4"/>
      <c r="F407" s="4"/>
      <c r="G407" s="4"/>
      <c r="H407" s="4"/>
      <c r="I407" s="4"/>
      <c r="J407" s="4"/>
      <c r="K407" s="4"/>
      <c r="L407" s="164"/>
    </row>
    <row r="408" spans="1:12" ht="12" customHeight="1" x14ac:dyDescent="0.2">
      <c r="A408" s="123" t="s">
        <v>604</v>
      </c>
      <c r="B408" s="4"/>
      <c r="C408" s="4"/>
      <c r="D408" s="218">
        <f>H143+H253+H260+H289+H306+H360+H371</f>
        <v>0</v>
      </c>
      <c r="E408" s="4"/>
      <c r="F408" s="4"/>
      <c r="G408" s="4"/>
      <c r="H408" s="4"/>
      <c r="I408" s="4"/>
      <c r="J408" s="4"/>
      <c r="K408" s="4"/>
      <c r="L408" s="164"/>
    </row>
    <row r="409" spans="1:12" ht="12" customHeight="1" x14ac:dyDescent="0.2">
      <c r="A409" s="123" t="s">
        <v>401</v>
      </c>
      <c r="B409" s="4"/>
      <c r="C409" s="4"/>
      <c r="D409" s="218">
        <f>H187+H190+H193+H216+H309+H377</f>
        <v>0</v>
      </c>
      <c r="E409" s="4"/>
      <c r="F409" s="4"/>
      <c r="G409" s="4"/>
      <c r="H409" s="4"/>
      <c r="I409" s="4"/>
      <c r="J409" s="4"/>
      <c r="K409" s="4"/>
      <c r="L409" s="164"/>
    </row>
    <row r="410" spans="1:12" ht="12" customHeight="1" x14ac:dyDescent="0.2">
      <c r="A410" s="123" t="s">
        <v>605</v>
      </c>
      <c r="B410" s="4"/>
      <c r="C410" s="4"/>
      <c r="D410" s="218">
        <f>H312+H325+H333+H334+H339+H344+H347+H352+H355</f>
        <v>0</v>
      </c>
      <c r="E410" s="4"/>
      <c r="F410" s="4"/>
      <c r="G410" s="4"/>
      <c r="H410" s="4"/>
      <c r="I410" s="4"/>
      <c r="J410" s="4"/>
      <c r="K410" s="4"/>
      <c r="L410" s="164"/>
    </row>
    <row r="411" spans="1:12" ht="12" customHeight="1" x14ac:dyDescent="0.2">
      <c r="A411" s="123" t="s">
        <v>606</v>
      </c>
      <c r="B411" s="4"/>
      <c r="C411" s="4"/>
      <c r="D411" s="218">
        <f>IF(Input!D169="x",6000,0)</f>
        <v>0</v>
      </c>
      <c r="E411" s="4"/>
      <c r="F411" s="4"/>
      <c r="G411" s="4"/>
      <c r="H411" s="4"/>
      <c r="I411" s="4"/>
      <c r="J411" s="4"/>
      <c r="K411" s="4"/>
      <c r="L411" s="219"/>
    </row>
    <row r="412" spans="1:12" ht="12" customHeight="1" x14ac:dyDescent="0.2">
      <c r="A412" s="123" t="s">
        <v>607</v>
      </c>
      <c r="B412" s="4"/>
      <c r="C412" s="4"/>
      <c r="D412" s="218">
        <f>H232</f>
        <v>0</v>
      </c>
      <c r="E412" s="4"/>
      <c r="F412" s="4"/>
      <c r="G412" s="4"/>
      <c r="H412" s="4"/>
      <c r="I412" s="4"/>
      <c r="J412" s="4"/>
      <c r="K412" s="4"/>
      <c r="L412" s="219"/>
    </row>
    <row r="413" spans="1:12" ht="12" customHeight="1" x14ac:dyDescent="0.2">
      <c r="A413" s="123" t="s">
        <v>608</v>
      </c>
      <c r="B413" s="4"/>
      <c r="C413" s="4"/>
      <c r="D413" s="218">
        <f>H236</f>
        <v>0</v>
      </c>
      <c r="E413" s="4"/>
      <c r="F413" s="4"/>
      <c r="G413" s="4"/>
      <c r="H413" s="4"/>
      <c r="I413" s="4"/>
      <c r="J413" s="4"/>
      <c r="K413" s="4"/>
      <c r="L413" s="219"/>
    </row>
    <row r="414" spans="1:12" ht="12" customHeight="1" x14ac:dyDescent="0.2">
      <c r="A414" s="15" t="s">
        <v>609</v>
      </c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219">
        <f>SUM(D404:D413)</f>
        <v>0</v>
      </c>
    </row>
    <row r="415" spans="1:12" ht="12" customHeight="1" x14ac:dyDescent="0.2">
      <c r="A415" s="15" t="s">
        <v>610</v>
      </c>
      <c r="B415" s="4"/>
      <c r="C415" s="4"/>
      <c r="D415" s="18">
        <v>0.1</v>
      </c>
      <c r="E415" s="4"/>
      <c r="F415" s="4"/>
      <c r="G415" s="4"/>
      <c r="H415" s="4"/>
      <c r="I415" s="4"/>
      <c r="J415" s="4"/>
      <c r="K415" s="4"/>
      <c r="L415" s="219">
        <f>(L401)*D415</f>
        <v>0</v>
      </c>
    </row>
    <row r="416" spans="1:12" ht="12" customHeight="1" x14ac:dyDescent="0.2">
      <c r="A416" s="15" t="s">
        <v>611</v>
      </c>
      <c r="B416" s="4"/>
      <c r="C416" s="4"/>
      <c r="D416" s="18">
        <v>0.1</v>
      </c>
      <c r="E416" s="4"/>
      <c r="F416" s="4"/>
      <c r="G416" s="4"/>
      <c r="H416" s="4"/>
      <c r="I416" s="4"/>
      <c r="J416" s="4"/>
      <c r="K416" s="4"/>
      <c r="L416" s="219">
        <f>L414*D416</f>
        <v>0</v>
      </c>
    </row>
    <row r="417" spans="1:12" ht="12" customHeight="1" x14ac:dyDescent="0.2">
      <c r="A417" s="15" t="s">
        <v>612</v>
      </c>
      <c r="B417" s="4"/>
      <c r="C417" s="4"/>
      <c r="D417" s="18">
        <v>0.1</v>
      </c>
      <c r="E417" s="4"/>
      <c r="F417" s="4"/>
      <c r="G417" s="4"/>
      <c r="H417" s="4"/>
      <c r="I417" s="4"/>
      <c r="J417" s="4"/>
      <c r="K417" s="4"/>
      <c r="L417" s="219">
        <f>L401*D417</f>
        <v>0</v>
      </c>
    </row>
    <row r="418" spans="1:12" ht="12" customHeight="1" x14ac:dyDescent="0.2">
      <c r="A418" s="15" t="s">
        <v>613</v>
      </c>
      <c r="B418" s="4"/>
      <c r="C418" s="4"/>
      <c r="D418" s="18">
        <v>0.03</v>
      </c>
      <c r="E418" s="4"/>
      <c r="F418" s="4"/>
      <c r="G418" s="4"/>
      <c r="H418" s="4"/>
      <c r="I418" s="4"/>
      <c r="J418" s="4"/>
      <c r="K418" s="4"/>
      <c r="L418" s="219">
        <f>IF((L414+L415+L416+L417)&gt;100000,(L414+L415+L416+L417)*D418,0)</f>
        <v>0</v>
      </c>
    </row>
    <row r="419" spans="1:12" ht="12" customHeight="1" x14ac:dyDescent="0.2">
      <c r="A419" s="15" t="s">
        <v>614</v>
      </c>
      <c r="B419" s="4"/>
      <c r="C419" s="4"/>
      <c r="D419" s="221">
        <v>1.4999999999999999E-2</v>
      </c>
      <c r="E419" s="4"/>
      <c r="F419" s="4"/>
      <c r="G419" s="4"/>
      <c r="H419" s="4"/>
      <c r="I419" s="4"/>
      <c r="J419" s="4"/>
      <c r="K419" s="4"/>
      <c r="L419" s="220">
        <f>(B400+K400)*D419</f>
        <v>0</v>
      </c>
    </row>
    <row r="420" spans="1:12" ht="12" customHeight="1" x14ac:dyDescent="0.2">
      <c r="A420" s="15" t="s">
        <v>615</v>
      </c>
      <c r="B420" s="4"/>
      <c r="C420" s="4"/>
      <c r="D420" s="4"/>
      <c r="E420" s="10"/>
      <c r="F420" s="10"/>
      <c r="G420" s="10"/>
      <c r="H420" s="10"/>
      <c r="I420" s="10"/>
      <c r="J420" s="10"/>
      <c r="K420" s="4"/>
      <c r="L420" s="219">
        <f>SUM(L401:L419)</f>
        <v>0</v>
      </c>
    </row>
    <row r="421" spans="1:12" ht="12" customHeight="1" x14ac:dyDescent="0.2">
      <c r="A421" s="15" t="s">
        <v>616</v>
      </c>
      <c r="B421" s="4"/>
      <c r="C421" s="4"/>
      <c r="D421" s="18">
        <v>0.1</v>
      </c>
      <c r="E421" s="10"/>
      <c r="F421" s="10"/>
      <c r="G421" s="10"/>
      <c r="H421" s="10"/>
      <c r="I421" s="10"/>
      <c r="J421" s="10"/>
      <c r="K421" s="4"/>
      <c r="L421" s="219">
        <f>IF(L420&gt;100000,L420*D421, 0)</f>
        <v>0</v>
      </c>
    </row>
    <row r="422" spans="1:12" ht="12" customHeight="1" x14ac:dyDescent="0.2">
      <c r="A422" s="222" t="s">
        <v>617</v>
      </c>
      <c r="B422" s="10"/>
      <c r="C422" s="10"/>
      <c r="D422" s="221">
        <v>0.17100000000000001</v>
      </c>
      <c r="E422" s="10"/>
      <c r="F422" s="10"/>
      <c r="G422" s="10"/>
      <c r="H422" s="10"/>
      <c r="I422" s="10"/>
      <c r="J422" s="10"/>
      <c r="K422" s="4"/>
      <c r="L422" s="219">
        <f>L420*D422</f>
        <v>0</v>
      </c>
    </row>
    <row r="423" spans="1:12" ht="12" customHeight="1" x14ac:dyDescent="0.2">
      <c r="A423" s="222" t="s">
        <v>618</v>
      </c>
      <c r="B423" s="10"/>
      <c r="C423" s="10"/>
      <c r="D423" s="221">
        <v>0.218</v>
      </c>
      <c r="E423" s="10"/>
      <c r="F423" s="10"/>
      <c r="G423" s="10"/>
      <c r="H423" s="10"/>
      <c r="I423" s="10"/>
      <c r="J423" s="10"/>
      <c r="K423" s="4"/>
      <c r="L423" s="220">
        <f>L422*D423</f>
        <v>0</v>
      </c>
    </row>
    <row r="424" spans="1:12" ht="12" customHeight="1" thickBot="1" x14ac:dyDescent="0.3">
      <c r="A424" s="223" t="s">
        <v>619</v>
      </c>
      <c r="B424" s="211"/>
      <c r="C424" s="211"/>
      <c r="D424" s="211"/>
      <c r="E424" s="211"/>
      <c r="F424" s="211"/>
      <c r="G424" s="211"/>
      <c r="H424" s="211"/>
      <c r="I424" s="211"/>
      <c r="J424" s="211"/>
      <c r="K424" s="14"/>
      <c r="L424" s="224">
        <f>SUM(L420:L423)</f>
        <v>0</v>
      </c>
    </row>
    <row r="425" spans="1:12" ht="12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2" ht="12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2" ht="12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2" ht="12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2" ht="12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2" ht="12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2" ht="12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2" ht="12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ht="12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ht="12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ht="12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ht="12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ht="12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ht="12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ht="12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ht="12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ht="12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ht="12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ht="12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ht="12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ht="12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ht="12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ht="12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ht="12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ht="12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ht="12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ht="12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ht="12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ht="12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ht="12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ht="12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ht="12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ht="12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ht="12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ht="12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ht="12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ht="12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ht="12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ht="12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ht="12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ht="12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ht="12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ht="12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ht="12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ht="12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ht="12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ht="12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ht="12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ht="12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ht="12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ht="12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ht="12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ht="12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ht="12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ht="12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ht="12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ht="12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ht="12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ht="12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ht="12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ht="12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ht="12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ht="12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ht="12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ht="12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ht="12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ht="12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ht="12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ht="12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ht="12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ht="12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ht="12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ht="12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ht="12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ht="12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ht="12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ht="12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ht="12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ht="12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ht="12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ht="12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ht="12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ht="12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ht="12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ht="12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spans="1:10" ht="12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spans="1:10" ht="12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ht="12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ht="12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spans="1:10" ht="12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spans="1:10" ht="12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spans="1:10" ht="12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ht="12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ht="12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spans="1:10" ht="12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spans="1:10" ht="12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spans="1:10" ht="12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spans="1:10" ht="12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spans="1:10" ht="12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spans="1:10" ht="12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spans="1:10" ht="12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spans="1:10" ht="12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spans="1:10" ht="12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spans="1:10" ht="12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spans="1:10" ht="12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spans="1:10" ht="12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spans="1:10" ht="12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spans="1:10" ht="12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spans="1:10" ht="12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spans="1:10" ht="12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spans="1:10" ht="12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spans="1:10" ht="12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spans="1:10" ht="12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spans="1:10" ht="12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spans="1:10" ht="12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spans="1:10" ht="12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spans="1:10" ht="12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spans="1:10" ht="12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spans="1:10" ht="12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ht="12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ht="12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ht="12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spans="1:10" ht="12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spans="1:10" ht="12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spans="1:10" ht="12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spans="1:10" ht="12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spans="1:10" ht="12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spans="1:10" ht="12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spans="1:10" ht="12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spans="1:10" ht="12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spans="1:10" ht="12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spans="1:10" ht="12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spans="1:10" ht="12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spans="1:10" ht="12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spans="1:10" ht="12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spans="1:10" ht="12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spans="1:10" ht="12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spans="1:10" ht="12" customHeight="1" x14ac:dyDescent="0.2"/>
    <row r="563" spans="1:10" ht="12" customHeight="1" x14ac:dyDescent="0.2"/>
    <row r="564" spans="1:10" ht="12" customHeight="1" x14ac:dyDescent="0.2"/>
    <row r="565" spans="1:10" ht="12" customHeight="1" x14ac:dyDescent="0.2"/>
    <row r="566" spans="1:10" ht="12" customHeight="1" x14ac:dyDescent="0.2"/>
    <row r="567" spans="1:10" ht="12" customHeight="1" x14ac:dyDescent="0.2"/>
    <row r="568" spans="1:10" ht="12" customHeight="1" x14ac:dyDescent="0.2"/>
    <row r="569" spans="1:10" ht="12" customHeight="1" x14ac:dyDescent="0.2"/>
    <row r="570" spans="1:10" ht="12" customHeight="1" x14ac:dyDescent="0.2"/>
    <row r="571" spans="1:10" ht="12" customHeight="1" x14ac:dyDescent="0.2"/>
    <row r="572" spans="1:10" ht="12" customHeight="1" x14ac:dyDescent="0.2"/>
    <row r="573" spans="1:10" ht="12" customHeight="1" x14ac:dyDescent="0.2"/>
    <row r="574" spans="1:10" ht="12" customHeight="1" x14ac:dyDescent="0.2"/>
    <row r="575" spans="1:10" ht="12" customHeight="1" x14ac:dyDescent="0.2"/>
    <row r="576" spans="1:10" ht="12" customHeight="1" x14ac:dyDescent="0.2"/>
    <row r="577" customFormat="1" ht="12" customHeight="1" x14ac:dyDescent="0.2"/>
    <row r="578" customFormat="1" ht="12" customHeight="1" x14ac:dyDescent="0.2"/>
    <row r="579" customFormat="1" ht="12" customHeight="1" x14ac:dyDescent="0.2"/>
    <row r="580" customFormat="1" ht="12" customHeight="1" x14ac:dyDescent="0.2"/>
    <row r="581" customFormat="1" ht="12" customHeight="1" x14ac:dyDescent="0.2"/>
    <row r="582" customFormat="1" ht="12" customHeight="1" x14ac:dyDescent="0.2"/>
    <row r="583" customFormat="1" ht="12" customHeight="1" x14ac:dyDescent="0.2"/>
    <row r="584" customFormat="1" ht="12" customHeight="1" x14ac:dyDescent="0.2"/>
    <row r="585" customFormat="1" ht="12" customHeight="1" x14ac:dyDescent="0.2"/>
    <row r="586" customFormat="1" ht="12" customHeight="1" x14ac:dyDescent="0.2"/>
    <row r="587" customFormat="1" ht="12" customHeight="1" x14ac:dyDescent="0.2"/>
    <row r="588" customFormat="1" ht="12" customHeight="1" x14ac:dyDescent="0.2"/>
    <row r="589" customFormat="1" ht="12" customHeight="1" x14ac:dyDescent="0.2"/>
    <row r="590" customFormat="1" ht="12" customHeight="1" x14ac:dyDescent="0.2"/>
    <row r="591" customFormat="1" ht="12" customHeight="1" x14ac:dyDescent="0.2"/>
    <row r="592" customFormat="1" ht="12" customHeight="1" x14ac:dyDescent="0.2"/>
    <row r="593" customFormat="1" ht="12" customHeight="1" x14ac:dyDescent="0.2"/>
    <row r="594" customFormat="1" ht="12" customHeight="1" x14ac:dyDescent="0.2"/>
    <row r="595" customFormat="1" ht="12" customHeight="1" x14ac:dyDescent="0.2"/>
    <row r="596" customFormat="1" ht="12" customHeight="1" x14ac:dyDescent="0.2"/>
    <row r="597" customFormat="1" ht="12" customHeight="1" x14ac:dyDescent="0.2"/>
    <row r="598" customFormat="1" ht="12" customHeight="1" x14ac:dyDescent="0.2"/>
    <row r="599" customFormat="1" ht="12" customHeight="1" x14ac:dyDescent="0.2"/>
    <row r="600" customFormat="1" ht="12" customHeight="1" x14ac:dyDescent="0.2"/>
    <row r="601" customFormat="1" ht="12" customHeight="1" x14ac:dyDescent="0.2"/>
    <row r="602" customFormat="1" ht="12" customHeight="1" x14ac:dyDescent="0.2"/>
    <row r="603" customFormat="1" ht="12" customHeight="1" x14ac:dyDescent="0.2"/>
    <row r="604" customFormat="1" ht="12" customHeight="1" x14ac:dyDescent="0.2"/>
    <row r="605" customFormat="1" ht="12" customHeight="1" x14ac:dyDescent="0.2"/>
    <row r="606" customFormat="1" ht="12" customHeight="1" x14ac:dyDescent="0.2"/>
    <row r="607" customFormat="1" ht="12" customHeight="1" x14ac:dyDescent="0.2"/>
    <row r="608" customFormat="1" ht="12" customHeight="1" x14ac:dyDescent="0.2"/>
    <row r="609" customFormat="1" ht="12" customHeight="1" x14ac:dyDescent="0.2"/>
    <row r="610" customFormat="1" ht="12" customHeight="1" x14ac:dyDescent="0.2"/>
    <row r="611" customFormat="1" ht="12" customHeight="1" x14ac:dyDescent="0.2"/>
    <row r="612" customFormat="1" ht="12" customHeight="1" x14ac:dyDescent="0.2"/>
    <row r="613" customFormat="1" ht="12" customHeight="1" x14ac:dyDescent="0.2"/>
    <row r="614" customFormat="1" ht="12" customHeight="1" x14ac:dyDescent="0.2"/>
    <row r="615" customFormat="1" ht="12" customHeight="1" x14ac:dyDescent="0.2"/>
    <row r="616" customFormat="1" ht="12" customHeight="1" x14ac:dyDescent="0.2"/>
    <row r="617" customFormat="1" ht="12" customHeight="1" x14ac:dyDescent="0.2"/>
    <row r="618" customFormat="1" ht="12" customHeight="1" x14ac:dyDescent="0.2"/>
    <row r="619" customFormat="1" ht="12" customHeight="1" x14ac:dyDescent="0.2"/>
    <row r="620" customFormat="1" ht="12" customHeight="1" x14ac:dyDescent="0.2"/>
    <row r="621" customFormat="1" ht="12" customHeight="1" x14ac:dyDescent="0.2"/>
    <row r="622" customFormat="1" ht="12" customHeight="1" x14ac:dyDescent="0.2"/>
    <row r="623" customFormat="1" ht="12" customHeight="1" x14ac:dyDescent="0.2"/>
    <row r="624" customFormat="1" ht="12" customHeight="1" x14ac:dyDescent="0.2"/>
    <row r="625" customFormat="1" ht="12" customHeight="1" x14ac:dyDescent="0.2"/>
    <row r="626" customFormat="1" ht="12" customHeight="1" x14ac:dyDescent="0.2"/>
    <row r="627" customFormat="1" ht="12" customHeight="1" x14ac:dyDescent="0.2"/>
    <row r="628" customFormat="1" ht="12" customHeight="1" x14ac:dyDescent="0.2"/>
    <row r="629" customFormat="1" ht="12" customHeight="1" x14ac:dyDescent="0.2"/>
    <row r="630" customFormat="1" ht="12" customHeight="1" x14ac:dyDescent="0.2"/>
    <row r="631" customFormat="1" ht="12" customHeight="1" x14ac:dyDescent="0.2"/>
    <row r="632" customFormat="1" ht="12" customHeight="1" x14ac:dyDescent="0.2"/>
    <row r="633" customFormat="1" ht="12" customHeight="1" x14ac:dyDescent="0.2"/>
    <row r="634" customFormat="1" ht="12" customHeight="1" x14ac:dyDescent="0.2"/>
    <row r="635" customFormat="1" ht="12" customHeight="1" x14ac:dyDescent="0.2"/>
    <row r="636" customFormat="1" ht="12" customHeight="1" x14ac:dyDescent="0.2"/>
    <row r="637" customFormat="1" ht="12" customHeight="1" x14ac:dyDescent="0.2"/>
    <row r="638" customFormat="1" ht="12" customHeight="1" x14ac:dyDescent="0.2"/>
    <row r="639" customFormat="1" ht="12" customHeight="1" x14ac:dyDescent="0.2"/>
    <row r="640" customFormat="1" ht="12" customHeight="1" x14ac:dyDescent="0.2"/>
    <row r="641" customFormat="1" ht="12" customHeight="1" x14ac:dyDescent="0.2"/>
    <row r="642" customFormat="1" ht="12" customHeight="1" x14ac:dyDescent="0.2"/>
    <row r="643" customFormat="1" ht="12" customHeight="1" x14ac:dyDescent="0.2"/>
    <row r="644" customFormat="1" ht="12" customHeight="1" x14ac:dyDescent="0.2"/>
    <row r="645" customFormat="1" ht="12" customHeight="1" x14ac:dyDescent="0.2"/>
    <row r="646" customFormat="1" ht="12" customHeight="1" x14ac:dyDescent="0.2"/>
    <row r="647" customFormat="1" ht="12" customHeight="1" x14ac:dyDescent="0.2"/>
    <row r="648" customFormat="1" ht="12" customHeight="1" x14ac:dyDescent="0.2"/>
    <row r="649" customFormat="1" ht="12" customHeight="1" x14ac:dyDescent="0.2"/>
    <row r="650" customFormat="1" ht="12" customHeight="1" x14ac:dyDescent="0.2"/>
    <row r="651" customFormat="1" ht="12" customHeight="1" x14ac:dyDescent="0.2"/>
    <row r="652" customFormat="1" ht="12" customHeight="1" x14ac:dyDescent="0.2"/>
    <row r="653" customFormat="1" ht="12" customHeight="1" x14ac:dyDescent="0.2"/>
    <row r="654" customFormat="1" ht="12" customHeight="1" x14ac:dyDescent="0.2"/>
    <row r="655" customFormat="1" ht="12" customHeight="1" x14ac:dyDescent="0.2"/>
    <row r="656" customFormat="1" ht="12" customHeight="1" x14ac:dyDescent="0.2"/>
    <row r="657" customFormat="1" ht="12" customHeight="1" x14ac:dyDescent="0.2"/>
    <row r="658" customFormat="1" ht="12" customHeight="1" x14ac:dyDescent="0.2"/>
    <row r="659" customFormat="1" ht="12" customHeight="1" x14ac:dyDescent="0.2"/>
    <row r="660" customFormat="1" ht="12" customHeight="1" x14ac:dyDescent="0.2"/>
    <row r="661" customFormat="1" ht="12" customHeight="1" x14ac:dyDescent="0.2"/>
    <row r="662" customFormat="1" ht="12" customHeight="1" x14ac:dyDescent="0.2"/>
    <row r="663" customFormat="1" ht="12" customHeight="1" x14ac:dyDescent="0.2"/>
    <row r="664" customFormat="1" ht="12" customHeight="1" x14ac:dyDescent="0.2"/>
    <row r="665" customFormat="1" ht="12" customHeight="1" x14ac:dyDescent="0.2"/>
    <row r="666" customFormat="1" ht="12" customHeight="1" x14ac:dyDescent="0.2"/>
    <row r="667" customFormat="1" ht="12" customHeight="1" x14ac:dyDescent="0.2"/>
    <row r="668" customFormat="1" ht="12" customHeight="1" x14ac:dyDescent="0.2"/>
    <row r="669" customFormat="1" ht="12" customHeight="1" x14ac:dyDescent="0.2"/>
    <row r="670" customFormat="1" ht="12" customHeight="1" x14ac:dyDescent="0.2"/>
    <row r="671" customFormat="1" ht="12" customHeight="1" x14ac:dyDescent="0.2"/>
    <row r="672" customFormat="1" ht="12" customHeight="1" x14ac:dyDescent="0.2"/>
    <row r="673" customFormat="1" ht="12" customHeight="1" x14ac:dyDescent="0.2"/>
    <row r="674" customFormat="1" ht="12" customHeight="1" x14ac:dyDescent="0.2"/>
    <row r="675" customFormat="1" ht="12" customHeight="1" x14ac:dyDescent="0.2"/>
    <row r="676" customFormat="1" ht="12" customHeight="1" x14ac:dyDescent="0.2"/>
    <row r="677" customFormat="1" ht="12" customHeight="1" x14ac:dyDescent="0.2"/>
    <row r="678" customFormat="1" ht="12" customHeight="1" x14ac:dyDescent="0.2"/>
    <row r="679" customFormat="1" ht="12" customHeight="1" x14ac:dyDescent="0.2"/>
    <row r="680" customFormat="1" ht="12" customHeight="1" x14ac:dyDescent="0.2"/>
    <row r="681" customFormat="1" ht="12" customHeight="1" x14ac:dyDescent="0.2"/>
    <row r="682" customFormat="1" ht="12" customHeight="1" x14ac:dyDescent="0.2"/>
    <row r="683" customFormat="1" ht="12" customHeight="1" x14ac:dyDescent="0.2"/>
    <row r="684" customFormat="1" ht="12" customHeight="1" x14ac:dyDescent="0.2"/>
    <row r="685" customFormat="1" ht="12" customHeight="1" x14ac:dyDescent="0.2"/>
    <row r="686" customFormat="1" ht="12" customHeight="1" x14ac:dyDescent="0.2"/>
    <row r="687" customFormat="1" ht="12" customHeight="1" x14ac:dyDescent="0.2"/>
    <row r="688" customFormat="1" ht="12" customHeight="1" x14ac:dyDescent="0.2"/>
    <row r="689" customFormat="1" ht="12" customHeight="1" x14ac:dyDescent="0.2"/>
    <row r="690" customFormat="1" ht="12" customHeight="1" x14ac:dyDescent="0.2"/>
    <row r="691" customFormat="1" ht="12" customHeight="1" x14ac:dyDescent="0.2"/>
    <row r="692" customFormat="1" ht="12" customHeight="1" x14ac:dyDescent="0.2"/>
    <row r="693" customFormat="1" ht="12" customHeight="1" x14ac:dyDescent="0.2"/>
    <row r="694" customFormat="1" ht="12" customHeight="1" x14ac:dyDescent="0.2"/>
    <row r="695" customFormat="1" ht="12" customHeight="1" x14ac:dyDescent="0.2"/>
    <row r="696" customFormat="1" ht="12" customHeight="1" x14ac:dyDescent="0.2"/>
    <row r="697" customFormat="1" ht="12" customHeight="1" x14ac:dyDescent="0.2"/>
    <row r="698" customFormat="1" ht="12" customHeight="1" x14ac:dyDescent="0.2"/>
    <row r="699" customFormat="1" ht="12" customHeight="1" x14ac:dyDescent="0.2"/>
    <row r="700" customFormat="1" ht="12" customHeight="1" x14ac:dyDescent="0.2"/>
    <row r="701" customFormat="1" ht="12" customHeight="1" x14ac:dyDescent="0.2"/>
    <row r="702" customFormat="1" ht="12" customHeight="1" x14ac:dyDescent="0.2"/>
    <row r="703" customFormat="1" ht="12" customHeight="1" x14ac:dyDescent="0.2"/>
    <row r="704" customFormat="1" ht="12" customHeight="1" x14ac:dyDescent="0.2"/>
    <row r="705" customFormat="1" ht="12" customHeight="1" x14ac:dyDescent="0.2"/>
    <row r="706" customFormat="1" ht="12" customHeight="1" x14ac:dyDescent="0.2"/>
    <row r="707" customFormat="1" ht="12" customHeight="1" x14ac:dyDescent="0.2"/>
    <row r="708" customFormat="1" ht="12" customHeight="1" x14ac:dyDescent="0.2"/>
    <row r="709" customFormat="1" ht="12" customHeight="1" x14ac:dyDescent="0.2"/>
    <row r="710" customFormat="1" ht="12" customHeight="1" x14ac:dyDescent="0.2"/>
    <row r="711" customFormat="1" ht="12" customHeight="1" x14ac:dyDescent="0.2"/>
    <row r="712" customFormat="1" ht="12" customHeight="1" x14ac:dyDescent="0.2"/>
    <row r="713" customFormat="1" ht="12" customHeight="1" x14ac:dyDescent="0.2"/>
    <row r="714" customFormat="1" ht="12" customHeight="1" x14ac:dyDescent="0.2"/>
    <row r="715" customFormat="1" ht="12" customHeight="1" x14ac:dyDescent="0.2"/>
    <row r="716" customFormat="1" ht="12" customHeight="1" x14ac:dyDescent="0.2"/>
    <row r="717" customFormat="1" ht="12" customHeight="1" x14ac:dyDescent="0.2"/>
    <row r="718" customFormat="1" ht="12" customHeight="1" x14ac:dyDescent="0.2"/>
    <row r="719" customFormat="1" ht="12" customHeight="1" x14ac:dyDescent="0.2"/>
    <row r="720" customFormat="1" ht="12" customHeight="1" x14ac:dyDescent="0.2"/>
    <row r="721" customFormat="1" ht="12" customHeight="1" x14ac:dyDescent="0.2"/>
    <row r="722" customFormat="1" ht="12" customHeight="1" x14ac:dyDescent="0.2"/>
    <row r="723" customFormat="1" ht="12" customHeight="1" x14ac:dyDescent="0.2"/>
    <row r="724" customFormat="1" ht="12" customHeight="1" x14ac:dyDescent="0.2"/>
    <row r="725" customFormat="1" ht="12" customHeight="1" x14ac:dyDescent="0.2"/>
    <row r="726" customFormat="1" ht="12" customHeight="1" x14ac:dyDescent="0.2"/>
    <row r="727" customFormat="1" ht="12" customHeight="1" x14ac:dyDescent="0.2"/>
    <row r="728" customFormat="1" ht="12" customHeight="1" x14ac:dyDescent="0.2"/>
    <row r="729" customFormat="1" ht="12" customHeight="1" x14ac:dyDescent="0.2"/>
    <row r="730" customFormat="1" ht="12" customHeight="1" x14ac:dyDescent="0.2"/>
    <row r="731" customFormat="1" ht="12" customHeight="1" x14ac:dyDescent="0.2"/>
    <row r="732" customFormat="1" ht="12" customHeight="1" x14ac:dyDescent="0.2"/>
    <row r="733" customFormat="1" ht="12" customHeight="1" x14ac:dyDescent="0.2"/>
    <row r="734" customFormat="1" ht="12" customHeight="1" x14ac:dyDescent="0.2"/>
    <row r="735" customFormat="1" ht="12" customHeight="1" x14ac:dyDescent="0.2"/>
    <row r="736" customFormat="1" ht="12" customHeight="1" x14ac:dyDescent="0.2"/>
    <row r="737" customFormat="1" ht="12" customHeight="1" x14ac:dyDescent="0.2"/>
    <row r="738" customFormat="1" ht="12" customHeight="1" x14ac:dyDescent="0.2"/>
    <row r="739" customFormat="1" ht="12" customHeight="1" x14ac:dyDescent="0.2"/>
    <row r="740" customFormat="1" ht="12" customHeight="1" x14ac:dyDescent="0.2"/>
    <row r="741" customFormat="1" ht="12" customHeight="1" x14ac:dyDescent="0.2"/>
    <row r="742" customFormat="1" ht="12" customHeight="1" x14ac:dyDescent="0.2"/>
    <row r="743" customFormat="1" ht="12" customHeight="1" x14ac:dyDescent="0.2"/>
    <row r="744" customFormat="1" ht="12" customHeight="1" x14ac:dyDescent="0.2"/>
    <row r="745" customFormat="1" ht="12" customHeight="1" x14ac:dyDescent="0.2"/>
    <row r="746" customFormat="1" ht="12" customHeight="1" x14ac:dyDescent="0.2"/>
    <row r="747" customFormat="1" ht="12" customHeight="1" x14ac:dyDescent="0.2"/>
    <row r="748" customFormat="1" ht="12" customHeight="1" x14ac:dyDescent="0.2"/>
    <row r="749" customFormat="1" ht="12" customHeight="1" x14ac:dyDescent="0.2"/>
    <row r="750" customFormat="1" ht="12" customHeight="1" x14ac:dyDescent="0.2"/>
    <row r="751" customFormat="1" ht="12" customHeight="1" x14ac:dyDescent="0.2"/>
    <row r="752" customFormat="1" ht="12" customHeight="1" x14ac:dyDescent="0.2"/>
    <row r="753" customFormat="1" ht="12" customHeight="1" x14ac:dyDescent="0.2"/>
    <row r="754" customFormat="1" ht="12" customHeight="1" x14ac:dyDescent="0.2"/>
    <row r="755" customFormat="1" ht="12" customHeight="1" x14ac:dyDescent="0.2"/>
    <row r="756" customFormat="1" ht="12" customHeight="1" x14ac:dyDescent="0.2"/>
    <row r="757" customFormat="1" ht="12" customHeight="1" x14ac:dyDescent="0.2"/>
    <row r="758" customFormat="1" ht="12" customHeight="1" x14ac:dyDescent="0.2"/>
    <row r="759" customFormat="1" ht="12" customHeight="1" x14ac:dyDescent="0.2"/>
    <row r="760" customFormat="1" ht="12" customHeight="1" x14ac:dyDescent="0.2"/>
    <row r="761" customFormat="1" ht="12" customHeight="1" x14ac:dyDescent="0.2"/>
    <row r="762" customFormat="1" ht="12" customHeight="1" x14ac:dyDescent="0.2"/>
    <row r="763" customFormat="1" ht="12" customHeight="1" x14ac:dyDescent="0.2"/>
    <row r="764" customFormat="1" ht="12" customHeight="1" x14ac:dyDescent="0.2"/>
    <row r="765" customFormat="1" ht="12" customHeight="1" x14ac:dyDescent="0.2"/>
    <row r="766" customFormat="1" ht="12" customHeight="1" x14ac:dyDescent="0.2"/>
    <row r="767" customFormat="1" ht="12" customHeight="1" x14ac:dyDescent="0.2"/>
    <row r="768" customFormat="1" ht="12" customHeight="1" x14ac:dyDescent="0.2"/>
    <row r="769" customFormat="1" ht="12" customHeight="1" x14ac:dyDescent="0.2"/>
    <row r="770" customFormat="1" ht="12" customHeight="1" x14ac:dyDescent="0.2"/>
    <row r="771" customFormat="1" ht="12" customHeight="1" x14ac:dyDescent="0.2"/>
    <row r="772" customFormat="1" ht="12" customHeight="1" x14ac:dyDescent="0.2"/>
    <row r="773" customFormat="1" ht="12" customHeight="1" x14ac:dyDescent="0.2"/>
    <row r="774" customFormat="1" ht="12" customHeight="1" x14ac:dyDescent="0.2"/>
    <row r="775" customFormat="1" ht="12" customHeight="1" x14ac:dyDescent="0.2"/>
    <row r="776" customFormat="1" ht="12" customHeight="1" x14ac:dyDescent="0.2"/>
    <row r="777" customFormat="1" ht="12" customHeight="1" x14ac:dyDescent="0.2"/>
    <row r="778" customFormat="1" ht="12" customHeight="1" x14ac:dyDescent="0.2"/>
    <row r="779" customFormat="1" ht="12" customHeight="1" x14ac:dyDescent="0.2"/>
    <row r="780" customFormat="1" ht="12" customHeight="1" x14ac:dyDescent="0.2"/>
    <row r="781" customFormat="1" ht="12" customHeight="1" x14ac:dyDescent="0.2"/>
    <row r="782" customFormat="1" ht="12" customHeight="1" x14ac:dyDescent="0.2"/>
    <row r="783" customFormat="1" ht="12" customHeight="1" x14ac:dyDescent="0.2"/>
    <row r="784" customFormat="1" ht="12" customHeight="1" x14ac:dyDescent="0.2"/>
    <row r="785" customFormat="1" ht="12" customHeight="1" x14ac:dyDescent="0.2"/>
    <row r="786" customFormat="1" ht="12" customHeight="1" x14ac:dyDescent="0.2"/>
    <row r="787" customFormat="1" ht="12" customHeight="1" x14ac:dyDescent="0.2"/>
    <row r="788" customFormat="1" ht="12" customHeight="1" x14ac:dyDescent="0.2"/>
    <row r="789" customFormat="1" ht="12" customHeight="1" x14ac:dyDescent="0.2"/>
    <row r="790" customFormat="1" ht="12" customHeight="1" x14ac:dyDescent="0.2"/>
    <row r="791" customFormat="1" ht="12" customHeight="1" x14ac:dyDescent="0.2"/>
    <row r="792" customFormat="1" ht="12" customHeight="1" x14ac:dyDescent="0.2"/>
    <row r="793" customFormat="1" ht="12" customHeight="1" x14ac:dyDescent="0.2"/>
    <row r="794" customFormat="1" ht="12" customHeight="1" x14ac:dyDescent="0.2"/>
    <row r="795" customFormat="1" ht="12" customHeight="1" x14ac:dyDescent="0.2"/>
    <row r="796" customFormat="1" ht="12" customHeight="1" x14ac:dyDescent="0.2"/>
    <row r="797" customFormat="1" ht="12" customHeight="1" x14ac:dyDescent="0.2"/>
    <row r="798" customFormat="1" ht="12" customHeight="1" x14ac:dyDescent="0.2"/>
    <row r="799" customFormat="1" ht="12" customHeight="1" x14ac:dyDescent="0.2"/>
    <row r="800" customFormat="1" ht="12" customHeight="1" x14ac:dyDescent="0.2"/>
    <row r="801" customFormat="1" ht="12" customHeight="1" x14ac:dyDescent="0.2"/>
    <row r="802" customFormat="1" ht="12" customHeight="1" x14ac:dyDescent="0.2"/>
    <row r="803" customFormat="1" ht="12" customHeight="1" x14ac:dyDescent="0.2"/>
    <row r="804" customFormat="1" ht="12" customHeight="1" x14ac:dyDescent="0.2"/>
    <row r="805" customFormat="1" ht="12" customHeight="1" x14ac:dyDescent="0.2"/>
    <row r="806" customFormat="1" ht="12" customHeight="1" x14ac:dyDescent="0.2"/>
    <row r="807" customFormat="1" ht="12" customHeight="1" x14ac:dyDescent="0.2"/>
    <row r="808" customFormat="1" ht="12" customHeight="1" x14ac:dyDescent="0.2"/>
    <row r="809" customFormat="1" ht="12" customHeight="1" x14ac:dyDescent="0.2"/>
    <row r="810" customFormat="1" ht="12" customHeight="1" x14ac:dyDescent="0.2"/>
    <row r="811" customFormat="1" ht="12" customHeight="1" x14ac:dyDescent="0.2"/>
    <row r="812" customFormat="1" ht="12" customHeight="1" x14ac:dyDescent="0.2"/>
    <row r="813" customFormat="1" ht="12" customHeight="1" x14ac:dyDescent="0.2"/>
    <row r="814" customFormat="1" ht="12" customHeight="1" x14ac:dyDescent="0.2"/>
    <row r="815" customFormat="1" ht="12" customHeight="1" x14ac:dyDescent="0.2"/>
    <row r="816" customFormat="1" ht="12" customHeight="1" x14ac:dyDescent="0.2"/>
    <row r="817" customFormat="1" ht="12" customHeight="1" x14ac:dyDescent="0.2"/>
    <row r="818" customFormat="1" ht="12" customHeight="1" x14ac:dyDescent="0.2"/>
    <row r="819" customFormat="1" ht="12" customHeight="1" x14ac:dyDescent="0.2"/>
    <row r="820" customFormat="1" ht="12" customHeight="1" x14ac:dyDescent="0.2"/>
    <row r="821" customFormat="1" ht="12" customHeight="1" x14ac:dyDescent="0.2"/>
    <row r="822" customFormat="1" ht="12" customHeight="1" x14ac:dyDescent="0.2"/>
    <row r="823" customFormat="1" ht="12" customHeight="1" x14ac:dyDescent="0.2"/>
    <row r="824" customFormat="1" ht="12" customHeight="1" x14ac:dyDescent="0.2"/>
    <row r="825" customFormat="1" ht="12" customHeight="1" x14ac:dyDescent="0.2"/>
    <row r="826" customFormat="1" ht="12" customHeight="1" x14ac:dyDescent="0.2"/>
    <row r="827" customFormat="1" ht="12" customHeight="1" x14ac:dyDescent="0.2"/>
    <row r="828" customFormat="1" ht="12" customHeight="1" x14ac:dyDescent="0.2"/>
    <row r="829" customFormat="1" ht="12" customHeight="1" x14ac:dyDescent="0.2"/>
    <row r="830" customFormat="1" ht="12" customHeight="1" x14ac:dyDescent="0.2"/>
    <row r="831" customFormat="1" ht="12" customHeight="1" x14ac:dyDescent="0.2"/>
    <row r="832" customFormat="1" ht="12" customHeight="1" x14ac:dyDescent="0.2"/>
    <row r="833" customFormat="1" ht="12" customHeight="1" x14ac:dyDescent="0.2"/>
    <row r="834" customFormat="1" ht="12" customHeight="1" x14ac:dyDescent="0.2"/>
    <row r="835" customFormat="1" ht="12" customHeight="1" x14ac:dyDescent="0.2"/>
    <row r="836" customFormat="1" ht="12" customHeight="1" x14ac:dyDescent="0.2"/>
    <row r="837" customFormat="1" ht="12" customHeight="1" x14ac:dyDescent="0.2"/>
    <row r="838" customFormat="1" ht="12" customHeight="1" x14ac:dyDescent="0.2"/>
    <row r="839" customFormat="1" ht="12" customHeight="1" x14ac:dyDescent="0.2"/>
    <row r="840" customFormat="1" ht="12" customHeight="1" x14ac:dyDescent="0.2"/>
    <row r="841" customFormat="1" ht="12" customHeight="1" x14ac:dyDescent="0.2"/>
    <row r="842" customFormat="1" ht="12" customHeight="1" x14ac:dyDescent="0.2"/>
    <row r="843" customFormat="1" ht="12" customHeight="1" x14ac:dyDescent="0.2"/>
    <row r="844" customFormat="1" ht="12" customHeight="1" x14ac:dyDescent="0.2"/>
    <row r="845" customFormat="1" ht="12" customHeight="1" x14ac:dyDescent="0.2"/>
    <row r="846" customFormat="1" ht="12" customHeight="1" x14ac:dyDescent="0.2"/>
    <row r="847" customFormat="1" ht="12" customHeight="1" x14ac:dyDescent="0.2"/>
    <row r="848" customFormat="1" ht="12" customHeight="1" x14ac:dyDescent="0.2"/>
    <row r="849" customFormat="1" ht="12" customHeight="1" x14ac:dyDescent="0.2"/>
    <row r="850" customFormat="1" ht="12" customHeight="1" x14ac:dyDescent="0.2"/>
    <row r="851" customFormat="1" ht="12" customHeight="1" x14ac:dyDescent="0.2"/>
    <row r="852" customFormat="1" ht="12" customHeight="1" x14ac:dyDescent="0.2"/>
    <row r="853" customFormat="1" ht="12" customHeight="1" x14ac:dyDescent="0.2"/>
    <row r="854" customFormat="1" ht="12" customHeight="1" x14ac:dyDescent="0.2"/>
    <row r="855" customFormat="1" ht="12" customHeight="1" x14ac:dyDescent="0.2"/>
    <row r="856" customFormat="1" ht="12" customHeight="1" x14ac:dyDescent="0.2"/>
    <row r="857" customFormat="1" ht="12" customHeight="1" x14ac:dyDescent="0.2"/>
    <row r="858" customFormat="1" ht="12" customHeight="1" x14ac:dyDescent="0.2"/>
    <row r="859" customFormat="1" ht="12" customHeight="1" x14ac:dyDescent="0.2"/>
    <row r="860" customFormat="1" ht="12" customHeight="1" x14ac:dyDescent="0.2"/>
    <row r="861" customFormat="1" ht="12" customHeight="1" x14ac:dyDescent="0.2"/>
    <row r="862" customFormat="1" ht="12" customHeight="1" x14ac:dyDescent="0.2"/>
    <row r="863" customFormat="1" ht="12" customHeight="1" x14ac:dyDescent="0.2"/>
    <row r="864" customFormat="1" ht="12" customHeight="1" x14ac:dyDescent="0.2"/>
    <row r="865" customFormat="1" ht="12" customHeight="1" x14ac:dyDescent="0.2"/>
    <row r="866" customFormat="1" ht="12" customHeight="1" x14ac:dyDescent="0.2"/>
    <row r="867" customFormat="1" ht="12" customHeight="1" x14ac:dyDescent="0.2"/>
    <row r="868" customFormat="1" ht="12" customHeight="1" x14ac:dyDescent="0.2"/>
    <row r="869" customFormat="1" ht="12" customHeight="1" x14ac:dyDescent="0.2"/>
    <row r="870" customFormat="1" ht="12" customHeight="1" x14ac:dyDescent="0.2"/>
    <row r="871" customFormat="1" ht="12" customHeight="1" x14ac:dyDescent="0.2"/>
    <row r="872" customFormat="1" ht="12" customHeight="1" x14ac:dyDescent="0.2"/>
    <row r="873" customFormat="1" ht="12" customHeight="1" x14ac:dyDescent="0.2"/>
    <row r="874" customFormat="1" ht="12" customHeight="1" x14ac:dyDescent="0.2"/>
    <row r="875" customFormat="1" ht="12" customHeight="1" x14ac:dyDescent="0.2"/>
    <row r="876" customFormat="1" ht="12" customHeight="1" x14ac:dyDescent="0.2"/>
    <row r="877" customFormat="1" ht="12" customHeight="1" x14ac:dyDescent="0.2"/>
    <row r="878" customFormat="1" ht="12" customHeight="1" x14ac:dyDescent="0.2"/>
    <row r="879" customFormat="1" ht="12" customHeight="1" x14ac:dyDescent="0.2"/>
    <row r="880" customFormat="1" ht="12" customHeight="1" x14ac:dyDescent="0.2"/>
    <row r="881" customFormat="1" ht="12" customHeight="1" x14ac:dyDescent="0.2"/>
    <row r="882" customFormat="1" ht="12" customHeight="1" x14ac:dyDescent="0.2"/>
    <row r="883" customFormat="1" ht="12" customHeight="1" x14ac:dyDescent="0.2"/>
    <row r="884" customFormat="1" ht="12" customHeight="1" x14ac:dyDescent="0.2"/>
    <row r="885" customFormat="1" ht="12" customHeight="1" x14ac:dyDescent="0.2"/>
    <row r="886" customFormat="1" ht="12" customHeight="1" x14ac:dyDescent="0.2"/>
    <row r="887" customFormat="1" ht="12" customHeight="1" x14ac:dyDescent="0.2"/>
    <row r="888" customFormat="1" ht="12" customHeight="1" x14ac:dyDescent="0.2"/>
    <row r="889" customFormat="1" ht="12" customHeight="1" x14ac:dyDescent="0.2"/>
    <row r="890" customFormat="1" ht="12" customHeight="1" x14ac:dyDescent="0.2"/>
    <row r="891" customFormat="1" ht="12" customHeight="1" x14ac:dyDescent="0.2"/>
    <row r="892" customFormat="1" ht="12" customHeight="1" x14ac:dyDescent="0.2"/>
    <row r="893" customFormat="1" ht="12" customHeight="1" x14ac:dyDescent="0.2"/>
    <row r="894" customFormat="1" ht="12" customHeight="1" x14ac:dyDescent="0.2"/>
    <row r="895" customFormat="1" ht="12" customHeight="1" x14ac:dyDescent="0.2"/>
    <row r="896" customFormat="1" ht="12" customHeight="1" x14ac:dyDescent="0.2"/>
    <row r="897" customFormat="1" ht="12" customHeight="1" x14ac:dyDescent="0.2"/>
    <row r="898" customFormat="1" ht="12" customHeight="1" x14ac:dyDescent="0.2"/>
    <row r="899" customFormat="1" ht="12" customHeight="1" x14ac:dyDescent="0.2"/>
    <row r="900" customFormat="1" ht="12" customHeight="1" x14ac:dyDescent="0.2"/>
    <row r="901" customFormat="1" ht="12" customHeight="1" x14ac:dyDescent="0.2"/>
    <row r="902" customFormat="1" ht="12" customHeight="1" x14ac:dyDescent="0.2"/>
    <row r="903" customFormat="1" ht="12" customHeight="1" x14ac:dyDescent="0.2"/>
    <row r="904" customFormat="1" ht="12" customHeight="1" x14ac:dyDescent="0.2"/>
    <row r="905" customFormat="1" ht="12" customHeight="1" x14ac:dyDescent="0.2"/>
    <row r="906" customFormat="1" ht="12" customHeight="1" x14ac:dyDescent="0.2"/>
    <row r="907" customFormat="1" ht="12" customHeight="1" x14ac:dyDescent="0.2"/>
    <row r="908" customFormat="1" ht="12" customHeight="1" x14ac:dyDescent="0.2"/>
    <row r="909" customFormat="1" ht="12" customHeight="1" x14ac:dyDescent="0.2"/>
    <row r="910" customFormat="1" ht="12" customHeight="1" x14ac:dyDescent="0.2"/>
    <row r="911" customFormat="1" ht="12" customHeight="1" x14ac:dyDescent="0.2"/>
    <row r="912" customFormat="1" ht="12" customHeight="1" x14ac:dyDescent="0.2"/>
    <row r="913" customFormat="1" ht="12" customHeight="1" x14ac:dyDescent="0.2"/>
    <row r="914" customFormat="1" ht="12" customHeight="1" x14ac:dyDescent="0.2"/>
    <row r="915" customFormat="1" ht="12" customHeight="1" x14ac:dyDescent="0.2"/>
    <row r="916" customFormat="1" ht="12" customHeight="1" x14ac:dyDescent="0.2"/>
    <row r="917" customFormat="1" ht="12" customHeight="1" x14ac:dyDescent="0.2"/>
    <row r="918" customFormat="1" ht="12" customHeight="1" x14ac:dyDescent="0.2"/>
    <row r="919" customFormat="1" ht="12" customHeight="1" x14ac:dyDescent="0.2"/>
    <row r="920" customFormat="1" ht="12" customHeight="1" x14ac:dyDescent="0.2"/>
    <row r="921" customFormat="1" ht="12" customHeight="1" x14ac:dyDescent="0.2"/>
    <row r="922" customFormat="1" ht="12" customHeight="1" x14ac:dyDescent="0.2"/>
    <row r="923" customFormat="1" ht="12" customHeight="1" x14ac:dyDescent="0.2"/>
    <row r="924" customFormat="1" ht="12" customHeight="1" x14ac:dyDescent="0.2"/>
    <row r="925" customFormat="1" ht="12" customHeight="1" x14ac:dyDescent="0.2"/>
    <row r="926" customFormat="1" ht="12" customHeight="1" x14ac:dyDescent="0.2"/>
    <row r="927" customFormat="1" ht="12" customHeight="1" x14ac:dyDescent="0.2"/>
    <row r="928" customFormat="1" ht="12" customHeight="1" x14ac:dyDescent="0.2"/>
    <row r="929" customFormat="1" ht="12" customHeight="1" x14ac:dyDescent="0.2"/>
    <row r="930" customFormat="1" ht="12" customHeight="1" x14ac:dyDescent="0.2"/>
    <row r="931" customFormat="1" ht="12" customHeight="1" x14ac:dyDescent="0.2"/>
    <row r="932" customFormat="1" ht="12" customHeight="1" x14ac:dyDescent="0.2"/>
    <row r="933" customFormat="1" ht="12" customHeight="1" x14ac:dyDescent="0.2"/>
    <row r="934" customFormat="1" ht="12" customHeight="1" x14ac:dyDescent="0.2"/>
    <row r="935" customFormat="1" ht="12" customHeight="1" x14ac:dyDescent="0.2"/>
    <row r="936" customFormat="1" ht="12" customHeight="1" x14ac:dyDescent="0.2"/>
    <row r="937" customFormat="1" ht="12" customHeight="1" x14ac:dyDescent="0.2"/>
    <row r="938" customFormat="1" ht="12" customHeight="1" x14ac:dyDescent="0.2"/>
    <row r="939" customFormat="1" ht="12" customHeight="1" x14ac:dyDescent="0.2"/>
    <row r="940" customFormat="1" ht="12" customHeight="1" x14ac:dyDescent="0.2"/>
    <row r="941" customFormat="1" ht="12" customHeight="1" x14ac:dyDescent="0.2"/>
    <row r="942" customFormat="1" ht="12" customHeight="1" x14ac:dyDescent="0.2"/>
    <row r="943" customFormat="1" ht="12" customHeight="1" x14ac:dyDescent="0.2"/>
    <row r="944" customFormat="1" ht="12" customHeight="1" x14ac:dyDescent="0.2"/>
    <row r="945" customFormat="1" ht="12" customHeight="1" x14ac:dyDescent="0.2"/>
    <row r="946" customFormat="1" ht="12" customHeight="1" x14ac:dyDescent="0.2"/>
    <row r="947" customFormat="1" ht="12" customHeight="1" x14ac:dyDescent="0.2"/>
    <row r="948" customFormat="1" ht="12" customHeight="1" x14ac:dyDescent="0.2"/>
    <row r="949" customFormat="1" ht="12" customHeight="1" x14ac:dyDescent="0.2"/>
    <row r="950" customFormat="1" ht="12" customHeight="1" x14ac:dyDescent="0.2"/>
    <row r="951" customFormat="1" ht="12" customHeight="1" x14ac:dyDescent="0.2"/>
    <row r="952" customFormat="1" ht="12" customHeight="1" x14ac:dyDescent="0.2"/>
    <row r="953" customFormat="1" ht="12" customHeight="1" x14ac:dyDescent="0.2"/>
    <row r="954" customFormat="1" ht="12" customHeight="1" x14ac:dyDescent="0.2"/>
    <row r="955" customFormat="1" ht="12" customHeight="1" x14ac:dyDescent="0.2"/>
    <row r="956" customFormat="1" ht="12" customHeight="1" x14ac:dyDescent="0.2"/>
    <row r="957" customFormat="1" ht="12" customHeight="1" x14ac:dyDescent="0.2"/>
    <row r="958" customFormat="1" ht="12" customHeight="1" x14ac:dyDescent="0.2"/>
    <row r="959" customFormat="1" ht="12" customHeight="1" x14ac:dyDescent="0.2"/>
    <row r="960" customFormat="1" ht="12" customHeight="1" x14ac:dyDescent="0.2"/>
    <row r="961" customFormat="1" ht="12" customHeight="1" x14ac:dyDescent="0.2"/>
    <row r="962" customFormat="1" ht="12" customHeight="1" x14ac:dyDescent="0.2"/>
    <row r="963" customFormat="1" ht="12" customHeight="1" x14ac:dyDescent="0.2"/>
    <row r="964" customFormat="1" ht="12" customHeight="1" x14ac:dyDescent="0.2"/>
    <row r="965" customFormat="1" ht="12" customHeight="1" x14ac:dyDescent="0.2"/>
    <row r="966" customFormat="1" ht="12" customHeight="1" x14ac:dyDescent="0.2"/>
    <row r="967" customFormat="1" ht="12" customHeight="1" x14ac:dyDescent="0.2"/>
    <row r="968" customFormat="1" ht="12" customHeight="1" x14ac:dyDescent="0.2"/>
    <row r="969" customFormat="1" ht="12" customHeight="1" x14ac:dyDescent="0.2"/>
    <row r="970" customFormat="1" ht="12" customHeight="1" x14ac:dyDescent="0.2"/>
    <row r="971" customFormat="1" ht="12" customHeight="1" x14ac:dyDescent="0.2"/>
    <row r="972" customFormat="1" ht="12" customHeight="1" x14ac:dyDescent="0.2"/>
    <row r="973" customFormat="1" ht="12" customHeight="1" x14ac:dyDescent="0.2"/>
    <row r="974" customFormat="1" ht="12" customHeight="1" x14ac:dyDescent="0.2"/>
    <row r="975" customFormat="1" ht="12" customHeight="1" x14ac:dyDescent="0.2"/>
    <row r="976" customFormat="1" ht="12" customHeight="1" x14ac:dyDescent="0.2"/>
    <row r="977" customFormat="1" ht="12" customHeight="1" x14ac:dyDescent="0.2"/>
    <row r="978" customFormat="1" ht="12" customHeight="1" x14ac:dyDescent="0.2"/>
    <row r="979" customFormat="1" ht="12" customHeight="1" x14ac:dyDescent="0.2"/>
    <row r="980" customFormat="1" ht="12" customHeight="1" x14ac:dyDescent="0.2"/>
    <row r="981" customFormat="1" ht="12" customHeight="1" x14ac:dyDescent="0.2"/>
    <row r="982" customFormat="1" ht="12" customHeight="1" x14ac:dyDescent="0.2"/>
    <row r="983" customFormat="1" ht="12" customHeight="1" x14ac:dyDescent="0.2"/>
    <row r="984" customFormat="1" ht="12" customHeight="1" x14ac:dyDescent="0.2"/>
    <row r="985" customFormat="1" ht="12" customHeight="1" x14ac:dyDescent="0.2"/>
    <row r="986" customFormat="1" ht="12" customHeight="1" x14ac:dyDescent="0.2"/>
    <row r="987" customFormat="1" ht="12" customHeight="1" x14ac:dyDescent="0.2"/>
    <row r="988" customFormat="1" ht="12" customHeight="1" x14ac:dyDescent="0.2"/>
    <row r="989" customFormat="1" ht="12" customHeight="1" x14ac:dyDescent="0.2"/>
    <row r="990" customFormat="1" ht="12" customHeight="1" x14ac:dyDescent="0.2"/>
    <row r="991" customFormat="1" ht="12" customHeight="1" x14ac:dyDescent="0.2"/>
    <row r="992" customFormat="1" ht="12" customHeight="1" x14ac:dyDescent="0.2"/>
    <row r="993" customFormat="1" ht="12" customHeight="1" x14ac:dyDescent="0.2"/>
    <row r="994" customFormat="1" ht="12" customHeight="1" x14ac:dyDescent="0.2"/>
    <row r="995" customFormat="1" ht="12" customHeight="1" x14ac:dyDescent="0.2"/>
    <row r="996" customFormat="1" ht="12" customHeight="1" x14ac:dyDescent="0.2"/>
    <row r="997" customFormat="1" ht="12" customHeight="1" x14ac:dyDescent="0.2"/>
    <row r="998" customFormat="1" ht="12" customHeight="1" x14ac:dyDescent="0.2"/>
    <row r="999" customFormat="1" ht="12" customHeight="1" x14ac:dyDescent="0.2"/>
    <row r="1000" customFormat="1" ht="12" customHeight="1" x14ac:dyDescent="0.2"/>
  </sheetData>
  <sheetProtection algorithmName="SHA-512" hashValue="kySONjELXGw3sNwUfFRXPhfz075WZvqCrYlHdNqK6gPJbKPdS/F5ee0qipiFNFa4urT0LR5wjiwXNMe3UeAtOA==" saltValue="de0l9RBZRlgi7qt7zLytGw==" spinCount="100000" sheet="1" objects="1" scenarios="1" selectLockedCells="1"/>
  <printOptions gridLines="1"/>
  <pageMargins left="0.75" right="0.75" top="1" bottom="1" header="0" footer="0"/>
  <pageSetup fitToHeight="0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workbookViewId="0">
      <selection activeCell="A2" sqref="A2"/>
    </sheetView>
  </sheetViews>
  <sheetFormatPr defaultColWidth="14.42578125" defaultRowHeight="15" customHeight="1" x14ac:dyDescent="0.2"/>
  <cols>
    <col min="2" max="2" width="19.28515625" customWidth="1"/>
    <col min="3" max="3" width="17.42578125" bestFit="1" customWidth="1"/>
    <col min="4" max="5" width="9.140625" bestFit="1" customWidth="1"/>
    <col min="6" max="6" width="10.140625" bestFit="1" customWidth="1"/>
    <col min="7" max="8" width="9.140625" bestFit="1" customWidth="1"/>
    <col min="9" max="9" width="10.140625" bestFit="1" customWidth="1"/>
    <col min="10" max="10" width="6.28515625" bestFit="1" customWidth="1"/>
    <col min="11" max="11" width="12.7109375" bestFit="1" customWidth="1"/>
    <col min="12" max="25" width="8.7109375" customWidth="1"/>
  </cols>
  <sheetData>
    <row r="1" spans="1:11" ht="12" customHeight="1" thickBot="1" x14ac:dyDescent="0.25"/>
    <row r="2" spans="1:11" ht="15.75" x14ac:dyDescent="0.25">
      <c r="B2" s="13" t="s">
        <v>694</v>
      </c>
    </row>
    <row r="3" spans="1:11" ht="12.75" x14ac:dyDescent="0.2"/>
    <row r="4" spans="1:11" ht="12" customHeight="1" x14ac:dyDescent="0.2">
      <c r="D4" t="s">
        <v>578</v>
      </c>
      <c r="E4" t="s">
        <v>579</v>
      </c>
      <c r="F4" t="s">
        <v>580</v>
      </c>
      <c r="G4" t="s">
        <v>578</v>
      </c>
      <c r="H4" t="s">
        <v>579</v>
      </c>
      <c r="I4" t="s">
        <v>580</v>
      </c>
      <c r="J4" s="4" t="s">
        <v>692</v>
      </c>
      <c r="K4" s="4" t="s">
        <v>693</v>
      </c>
    </row>
    <row r="5" spans="1:11" ht="12" customHeight="1" x14ac:dyDescent="0.2">
      <c r="A5" s="15" t="s">
        <v>212</v>
      </c>
      <c r="B5" s="4"/>
      <c r="C5" s="4" t="s">
        <v>213</v>
      </c>
      <c r="D5" s="120">
        <v>285</v>
      </c>
      <c r="E5" s="120">
        <v>840</v>
      </c>
      <c r="F5" s="120">
        <v>2073</v>
      </c>
      <c r="G5" s="120">
        <f t="shared" ref="G5:G17" si="0">SUM(D5)+(D5*J5)+(D5*K5)</f>
        <v>352.26</v>
      </c>
      <c r="H5" s="120">
        <f t="shared" ref="H5:H17" si="1">SUM(E5)+(E5*J5)+(E5*K5)</f>
        <v>1038.24</v>
      </c>
      <c r="I5" s="120">
        <f t="shared" ref="I5:I17" si="2">SUM(F5)+(F5*J5)+(F5*K5)</f>
        <v>2562.2279999999996</v>
      </c>
      <c r="J5" s="119">
        <v>8.5999999999999993E-2</v>
      </c>
      <c r="K5" s="18">
        <v>0.15</v>
      </c>
    </row>
    <row r="6" spans="1:11" ht="12" customHeight="1" x14ac:dyDescent="0.2">
      <c r="A6" s="15" t="s">
        <v>214</v>
      </c>
      <c r="B6" s="4"/>
      <c r="C6" s="4" t="s">
        <v>215</v>
      </c>
      <c r="D6" s="120">
        <v>390</v>
      </c>
      <c r="E6" s="120">
        <v>1001</v>
      </c>
      <c r="F6" s="120">
        <v>2569</v>
      </c>
      <c r="G6" s="120">
        <f t="shared" si="0"/>
        <v>482.04</v>
      </c>
      <c r="H6" s="120">
        <f t="shared" si="1"/>
        <v>1237.2360000000001</v>
      </c>
      <c r="I6" s="120">
        <f t="shared" si="2"/>
        <v>3175.2840000000001</v>
      </c>
      <c r="J6" s="119">
        <v>8.5999999999999993E-2</v>
      </c>
      <c r="K6" s="18">
        <v>0.15</v>
      </c>
    </row>
    <row r="7" spans="1:11" ht="12" customHeight="1" x14ac:dyDescent="0.2">
      <c r="A7" s="15" t="s">
        <v>216</v>
      </c>
      <c r="B7" s="4"/>
      <c r="C7" s="4" t="s">
        <v>217</v>
      </c>
      <c r="D7" s="120">
        <v>438</v>
      </c>
      <c r="E7" s="120">
        <v>1195</v>
      </c>
      <c r="F7" s="120">
        <v>2869</v>
      </c>
      <c r="G7" s="120">
        <f t="shared" si="0"/>
        <v>541.36800000000005</v>
      </c>
      <c r="H7" s="120">
        <f t="shared" si="1"/>
        <v>1477.02</v>
      </c>
      <c r="I7" s="120">
        <f t="shared" si="2"/>
        <v>3546.0839999999998</v>
      </c>
      <c r="J7" s="119">
        <v>8.5999999999999993E-2</v>
      </c>
      <c r="K7" s="18">
        <v>0.15</v>
      </c>
    </row>
    <row r="8" spans="1:11" ht="12" customHeight="1" x14ac:dyDescent="0.2">
      <c r="A8" s="15" t="s">
        <v>218</v>
      </c>
      <c r="B8" s="4"/>
      <c r="C8" s="4" t="s">
        <v>219</v>
      </c>
      <c r="D8" s="120">
        <v>779</v>
      </c>
      <c r="E8" s="120">
        <v>2220</v>
      </c>
      <c r="F8" s="120">
        <v>5616</v>
      </c>
      <c r="G8" s="120">
        <f t="shared" si="0"/>
        <v>962.84400000000005</v>
      </c>
      <c r="H8" s="120">
        <f t="shared" si="1"/>
        <v>2743.92</v>
      </c>
      <c r="I8" s="120">
        <f t="shared" si="2"/>
        <v>6941.3759999999993</v>
      </c>
      <c r="J8" s="119">
        <v>8.5999999999999993E-2</v>
      </c>
      <c r="K8" s="18">
        <v>0.15</v>
      </c>
    </row>
    <row r="9" spans="1:11" ht="12" customHeight="1" x14ac:dyDescent="0.2">
      <c r="A9" s="15" t="s">
        <v>220</v>
      </c>
      <c r="B9" s="4"/>
      <c r="C9" s="4" t="s">
        <v>221</v>
      </c>
      <c r="D9" s="120">
        <v>1116</v>
      </c>
      <c r="E9" s="120">
        <v>3259</v>
      </c>
      <c r="F9" s="120">
        <v>9193</v>
      </c>
      <c r="G9" s="120">
        <f t="shared" si="0"/>
        <v>1379.3760000000002</v>
      </c>
      <c r="H9" s="120">
        <f t="shared" si="1"/>
        <v>4028.1239999999998</v>
      </c>
      <c r="I9" s="120">
        <f t="shared" si="2"/>
        <v>11362.548000000001</v>
      </c>
      <c r="J9" s="119">
        <v>8.5999999999999993E-2</v>
      </c>
      <c r="K9" s="18">
        <v>0.15</v>
      </c>
    </row>
    <row r="10" spans="1:11" ht="12" customHeight="1" x14ac:dyDescent="0.2">
      <c r="A10" s="15" t="s">
        <v>222</v>
      </c>
      <c r="B10" s="4"/>
      <c r="C10" s="25" t="s">
        <v>695</v>
      </c>
      <c r="D10" s="120">
        <v>916</v>
      </c>
      <c r="E10" s="120">
        <v>2697</v>
      </c>
      <c r="F10" s="120">
        <v>7263</v>
      </c>
      <c r="G10" s="120">
        <f t="shared" si="0"/>
        <v>1132.1759999999999</v>
      </c>
      <c r="H10" s="120">
        <f t="shared" si="1"/>
        <v>3333.4920000000002</v>
      </c>
      <c r="I10" s="120">
        <f t="shared" si="2"/>
        <v>8977.0680000000011</v>
      </c>
      <c r="J10" s="119">
        <v>8.5999999999999993E-2</v>
      </c>
      <c r="K10" s="18">
        <v>0.15</v>
      </c>
    </row>
    <row r="11" spans="1:11" ht="12" customHeight="1" x14ac:dyDescent="0.2">
      <c r="A11" s="15" t="s">
        <v>224</v>
      </c>
      <c r="B11" s="4"/>
      <c r="C11" s="4" t="s">
        <v>225</v>
      </c>
      <c r="D11" s="120">
        <v>1250</v>
      </c>
      <c r="E11" s="120">
        <v>4250</v>
      </c>
      <c r="F11" s="120">
        <v>12750</v>
      </c>
      <c r="G11" s="120">
        <f t="shared" si="0"/>
        <v>1545</v>
      </c>
      <c r="H11" s="120">
        <f t="shared" si="1"/>
        <v>5253</v>
      </c>
      <c r="I11" s="120">
        <f t="shared" si="2"/>
        <v>15759</v>
      </c>
      <c r="J11" s="119">
        <v>8.5999999999999993E-2</v>
      </c>
      <c r="K11" s="18">
        <v>0.15</v>
      </c>
    </row>
    <row r="12" spans="1:11" ht="12" customHeight="1" x14ac:dyDescent="0.2">
      <c r="A12" s="15" t="s">
        <v>226</v>
      </c>
      <c r="B12" s="4"/>
      <c r="C12" s="4" t="s">
        <v>227</v>
      </c>
      <c r="D12" s="120">
        <v>490</v>
      </c>
      <c r="E12" s="120">
        <v>1225</v>
      </c>
      <c r="F12" s="120">
        <v>2761</v>
      </c>
      <c r="G12" s="120">
        <f t="shared" si="0"/>
        <v>605.64</v>
      </c>
      <c r="H12" s="120">
        <f t="shared" si="1"/>
        <v>1514.1</v>
      </c>
      <c r="I12" s="120">
        <f t="shared" si="2"/>
        <v>3412.596</v>
      </c>
      <c r="J12" s="119">
        <v>8.5999999999999993E-2</v>
      </c>
      <c r="K12" s="18">
        <v>0.15</v>
      </c>
    </row>
    <row r="13" spans="1:11" ht="12" customHeight="1" x14ac:dyDescent="0.2">
      <c r="A13" s="15" t="s">
        <v>228</v>
      </c>
      <c r="B13" s="4"/>
      <c r="C13" s="4" t="s">
        <v>229</v>
      </c>
      <c r="D13" s="120">
        <v>469</v>
      </c>
      <c r="E13" s="120">
        <v>1300</v>
      </c>
      <c r="F13" s="120">
        <v>3799</v>
      </c>
      <c r="G13" s="120">
        <f t="shared" si="0"/>
        <v>579.68399999999997</v>
      </c>
      <c r="H13" s="120">
        <f t="shared" si="1"/>
        <v>1606.8</v>
      </c>
      <c r="I13" s="120">
        <f t="shared" si="2"/>
        <v>4695.5640000000003</v>
      </c>
      <c r="J13" s="119">
        <v>8.5999999999999993E-2</v>
      </c>
      <c r="K13" s="18">
        <v>0.15</v>
      </c>
    </row>
    <row r="14" spans="1:11" ht="12" customHeight="1" x14ac:dyDescent="0.2">
      <c r="A14" s="15" t="s">
        <v>230</v>
      </c>
      <c r="B14" s="4"/>
      <c r="C14" s="4" t="s">
        <v>231</v>
      </c>
      <c r="D14" s="120"/>
      <c r="E14" s="120"/>
      <c r="F14" s="120"/>
      <c r="G14" s="120">
        <f t="shared" si="0"/>
        <v>0</v>
      </c>
      <c r="H14" s="120">
        <f t="shared" si="1"/>
        <v>0</v>
      </c>
      <c r="I14" s="120">
        <f t="shared" si="2"/>
        <v>0</v>
      </c>
      <c r="J14" s="119">
        <v>8.5999999999999993E-2</v>
      </c>
      <c r="K14" s="18">
        <v>0.15</v>
      </c>
    </row>
    <row r="15" spans="1:11" ht="12" customHeight="1" x14ac:dyDescent="0.2">
      <c r="A15" s="24" t="s">
        <v>696</v>
      </c>
      <c r="B15" s="4"/>
      <c r="C15" s="4"/>
      <c r="D15" s="120">
        <v>150</v>
      </c>
      <c r="E15" s="120">
        <v>617</v>
      </c>
      <c r="F15" s="120">
        <v>1748</v>
      </c>
      <c r="G15" s="120">
        <f t="shared" si="0"/>
        <v>185.4</v>
      </c>
      <c r="H15" s="120">
        <f t="shared" si="1"/>
        <v>762.61199999999997</v>
      </c>
      <c r="I15" s="120">
        <f t="shared" si="2"/>
        <v>2160.5279999999998</v>
      </c>
      <c r="J15" s="119">
        <v>8.5999999999999993E-2</v>
      </c>
      <c r="K15" s="18">
        <v>0.15</v>
      </c>
    </row>
    <row r="16" spans="1:11" ht="12" customHeight="1" x14ac:dyDescent="0.2">
      <c r="A16" s="15" t="s">
        <v>233</v>
      </c>
      <c r="B16" s="4"/>
      <c r="C16" s="4" t="s">
        <v>234</v>
      </c>
      <c r="D16" s="120">
        <v>1221</v>
      </c>
      <c r="E16" s="120">
        <v>3398</v>
      </c>
      <c r="F16" s="120">
        <v>8925</v>
      </c>
      <c r="G16" s="120">
        <f t="shared" si="0"/>
        <v>1509.1560000000002</v>
      </c>
      <c r="H16" s="120">
        <f t="shared" si="1"/>
        <v>4199.9279999999999</v>
      </c>
      <c r="I16" s="120">
        <f t="shared" si="2"/>
        <v>11031.3</v>
      </c>
      <c r="J16" s="119">
        <v>8.5999999999999993E-2</v>
      </c>
      <c r="K16" s="18">
        <v>0.15</v>
      </c>
    </row>
    <row r="17" spans="1:11" ht="12" customHeight="1" thickBot="1" x14ac:dyDescent="0.25">
      <c r="A17" s="16" t="s">
        <v>235</v>
      </c>
      <c r="B17" s="14"/>
      <c r="C17" s="14" t="s">
        <v>236</v>
      </c>
      <c r="D17" s="120">
        <v>460</v>
      </c>
      <c r="E17" s="120">
        <v>1063</v>
      </c>
      <c r="F17" s="120">
        <v>2335</v>
      </c>
      <c r="G17" s="120">
        <f t="shared" si="0"/>
        <v>568.55999999999995</v>
      </c>
      <c r="H17" s="120">
        <f t="shared" si="1"/>
        <v>1313.8679999999999</v>
      </c>
      <c r="I17" s="120">
        <f t="shared" si="2"/>
        <v>2886.06</v>
      </c>
      <c r="J17" s="119">
        <v>8.5999999999999993E-2</v>
      </c>
      <c r="K17" s="18">
        <v>0.15</v>
      </c>
    </row>
    <row r="18" spans="1:11" ht="12" customHeight="1" x14ac:dyDescent="0.2"/>
    <row r="19" spans="1:11" ht="12" customHeight="1" x14ac:dyDescent="0.2"/>
    <row r="20" spans="1:11" ht="12" customHeight="1" x14ac:dyDescent="0.2"/>
    <row r="21" spans="1:11" ht="12" customHeight="1" x14ac:dyDescent="0.2"/>
    <row r="22" spans="1:11" ht="12" customHeight="1" x14ac:dyDescent="0.2"/>
    <row r="23" spans="1:11" ht="12" customHeight="1" x14ac:dyDescent="0.2"/>
    <row r="24" spans="1:11" ht="12" customHeight="1" x14ac:dyDescent="0.2"/>
    <row r="25" spans="1:11" ht="12" customHeight="1" x14ac:dyDescent="0.2"/>
    <row r="26" spans="1:11" ht="12" customHeight="1" x14ac:dyDescent="0.2"/>
    <row r="27" spans="1:11" ht="12" customHeight="1" x14ac:dyDescent="0.2"/>
    <row r="28" spans="1:11" ht="12" customHeight="1" x14ac:dyDescent="0.2"/>
    <row r="29" spans="1:11" ht="12" customHeight="1" x14ac:dyDescent="0.2"/>
    <row r="30" spans="1:11" ht="12" customHeight="1" x14ac:dyDescent="0.2"/>
    <row r="31" spans="1:11" ht="12" customHeight="1" x14ac:dyDescent="0.2"/>
    <row r="32" spans="1:11" ht="12" customHeight="1" x14ac:dyDescent="0.2"/>
    <row r="33" customFormat="1" ht="12" customHeight="1" x14ac:dyDescent="0.2"/>
    <row r="34" customFormat="1" ht="12" customHeight="1" x14ac:dyDescent="0.2"/>
    <row r="35" customFormat="1" ht="12" customHeight="1" x14ac:dyDescent="0.2"/>
    <row r="36" customFormat="1" ht="12" customHeight="1" x14ac:dyDescent="0.2"/>
    <row r="37" customFormat="1" ht="12" customHeight="1" x14ac:dyDescent="0.2"/>
    <row r="38" customFormat="1" ht="12" customHeight="1" x14ac:dyDescent="0.2"/>
    <row r="39" customFormat="1" ht="12" customHeight="1" x14ac:dyDescent="0.2"/>
    <row r="40" customFormat="1" ht="12" customHeight="1" x14ac:dyDescent="0.2"/>
    <row r="41" customFormat="1" ht="12" customHeight="1" x14ac:dyDescent="0.2"/>
    <row r="42" customFormat="1" ht="12" customHeight="1" x14ac:dyDescent="0.2"/>
    <row r="43" customFormat="1" ht="12" customHeight="1" x14ac:dyDescent="0.2"/>
    <row r="44" customFormat="1" ht="12" customHeight="1" x14ac:dyDescent="0.2"/>
    <row r="45" customFormat="1" ht="12" customHeight="1" x14ac:dyDescent="0.2"/>
    <row r="46" customFormat="1" ht="12" customHeight="1" x14ac:dyDescent="0.2"/>
    <row r="47" customFormat="1" ht="12" customHeight="1" x14ac:dyDescent="0.2"/>
    <row r="48" customFormat="1" ht="12" customHeight="1" x14ac:dyDescent="0.2"/>
    <row r="49" customFormat="1" ht="12" customHeight="1" x14ac:dyDescent="0.2"/>
    <row r="50" customFormat="1" ht="12" customHeight="1" x14ac:dyDescent="0.2"/>
    <row r="51" customFormat="1" ht="12" customHeight="1" x14ac:dyDescent="0.2"/>
    <row r="52" customFormat="1" ht="12" customHeight="1" x14ac:dyDescent="0.2"/>
    <row r="53" customFormat="1" ht="12" customHeight="1" x14ac:dyDescent="0.2"/>
    <row r="54" customFormat="1" ht="12" customHeight="1" x14ac:dyDescent="0.2"/>
    <row r="55" customFormat="1" ht="12" customHeight="1" x14ac:dyDescent="0.2"/>
    <row r="56" customFormat="1" ht="12" customHeight="1" x14ac:dyDescent="0.2"/>
    <row r="57" customFormat="1" ht="12" customHeight="1" x14ac:dyDescent="0.2"/>
    <row r="58" customFormat="1" ht="12" customHeight="1" x14ac:dyDescent="0.2"/>
    <row r="59" customFormat="1" ht="12" customHeight="1" x14ac:dyDescent="0.2"/>
    <row r="60" customFormat="1" ht="12" customHeight="1" x14ac:dyDescent="0.2"/>
    <row r="61" customFormat="1" ht="12" customHeight="1" x14ac:dyDescent="0.2"/>
    <row r="62" customFormat="1" ht="12" customHeight="1" x14ac:dyDescent="0.2"/>
    <row r="63" customFormat="1" ht="12" customHeight="1" x14ac:dyDescent="0.2"/>
    <row r="64" customFormat="1" ht="12" customHeight="1" x14ac:dyDescent="0.2"/>
    <row r="65" customFormat="1" ht="12" customHeight="1" x14ac:dyDescent="0.2"/>
    <row r="66" customFormat="1" ht="12" customHeight="1" x14ac:dyDescent="0.2"/>
    <row r="67" customFormat="1" ht="12" customHeight="1" x14ac:dyDescent="0.2"/>
    <row r="68" customFormat="1" ht="12" customHeight="1" x14ac:dyDescent="0.2"/>
    <row r="69" customFormat="1" ht="12" customHeight="1" x14ac:dyDescent="0.2"/>
    <row r="70" customFormat="1" ht="12" customHeight="1" x14ac:dyDescent="0.2"/>
    <row r="71" customFormat="1" ht="12" customHeight="1" x14ac:dyDescent="0.2"/>
    <row r="72" customFormat="1" ht="12" customHeight="1" x14ac:dyDescent="0.2"/>
    <row r="73" customFormat="1" ht="12" customHeight="1" x14ac:dyDescent="0.2"/>
    <row r="74" customFormat="1" ht="12" customHeight="1" x14ac:dyDescent="0.2"/>
    <row r="75" customFormat="1" ht="12" customHeight="1" x14ac:dyDescent="0.2"/>
    <row r="76" customFormat="1" ht="12" customHeight="1" x14ac:dyDescent="0.2"/>
    <row r="77" customFormat="1" ht="12" customHeight="1" x14ac:dyDescent="0.2"/>
    <row r="78" customFormat="1" ht="12" customHeight="1" x14ac:dyDescent="0.2"/>
    <row r="79" customFormat="1" ht="12" customHeight="1" x14ac:dyDescent="0.2"/>
    <row r="80" customFormat="1" ht="12" customHeight="1" x14ac:dyDescent="0.2"/>
    <row r="81" customFormat="1" ht="12" customHeight="1" x14ac:dyDescent="0.2"/>
    <row r="82" customFormat="1" ht="12" customHeight="1" x14ac:dyDescent="0.2"/>
    <row r="83" customFormat="1" ht="12" customHeight="1" x14ac:dyDescent="0.2"/>
    <row r="84" customFormat="1" ht="12" customHeight="1" x14ac:dyDescent="0.2"/>
    <row r="85" customFormat="1" ht="12" customHeight="1" x14ac:dyDescent="0.2"/>
    <row r="86" customFormat="1" ht="12" customHeight="1" x14ac:dyDescent="0.2"/>
    <row r="87" customFormat="1" ht="12" customHeight="1" x14ac:dyDescent="0.2"/>
    <row r="88" customFormat="1" ht="12" customHeight="1" x14ac:dyDescent="0.2"/>
    <row r="89" customFormat="1" ht="12" customHeight="1" x14ac:dyDescent="0.2"/>
    <row r="90" customFormat="1" ht="12" customHeight="1" x14ac:dyDescent="0.2"/>
    <row r="91" customFormat="1" ht="12" customHeight="1" x14ac:dyDescent="0.2"/>
    <row r="92" customFormat="1" ht="12" customHeight="1" x14ac:dyDescent="0.2"/>
    <row r="93" customFormat="1" ht="12" customHeight="1" x14ac:dyDescent="0.2"/>
    <row r="94" customFormat="1" ht="12" customHeight="1" x14ac:dyDescent="0.2"/>
    <row r="95" customFormat="1" ht="12" customHeight="1" x14ac:dyDescent="0.2"/>
    <row r="96" customFormat="1" ht="12" customHeight="1" x14ac:dyDescent="0.2"/>
    <row r="97" customFormat="1" ht="12" customHeight="1" x14ac:dyDescent="0.2"/>
    <row r="98" customFormat="1" ht="12" customHeight="1" x14ac:dyDescent="0.2"/>
    <row r="99" customFormat="1" ht="12" customHeight="1" x14ac:dyDescent="0.2"/>
    <row r="100" customFormat="1" ht="12" customHeight="1" x14ac:dyDescent="0.2"/>
    <row r="101" customFormat="1" ht="12" customHeight="1" x14ac:dyDescent="0.2"/>
    <row r="102" customFormat="1" ht="12" customHeight="1" x14ac:dyDescent="0.2"/>
    <row r="103" customFormat="1" ht="12" customHeight="1" x14ac:dyDescent="0.2"/>
    <row r="104" customFormat="1" ht="12" customHeight="1" x14ac:dyDescent="0.2"/>
    <row r="105" customFormat="1" ht="12" customHeight="1" x14ac:dyDescent="0.2"/>
    <row r="106" customFormat="1" ht="12" customHeight="1" x14ac:dyDescent="0.2"/>
    <row r="107" customFormat="1" ht="12" customHeight="1" x14ac:dyDescent="0.2"/>
    <row r="108" customFormat="1" ht="12" customHeight="1" x14ac:dyDescent="0.2"/>
    <row r="109" customFormat="1" ht="12" customHeight="1" x14ac:dyDescent="0.2"/>
    <row r="110" customFormat="1" ht="12" customHeight="1" x14ac:dyDescent="0.2"/>
    <row r="111" customFormat="1" ht="12" customHeight="1" x14ac:dyDescent="0.2"/>
    <row r="112" customFormat="1" ht="12" customHeight="1" x14ac:dyDescent="0.2"/>
    <row r="113" customFormat="1" ht="12" customHeight="1" x14ac:dyDescent="0.2"/>
    <row r="114" customFormat="1" ht="12" customHeight="1" x14ac:dyDescent="0.2"/>
    <row r="115" customFormat="1" ht="12" customHeight="1" x14ac:dyDescent="0.2"/>
    <row r="116" customFormat="1" ht="12" customHeight="1" x14ac:dyDescent="0.2"/>
    <row r="117" customFormat="1" ht="12" customHeight="1" x14ac:dyDescent="0.2"/>
    <row r="118" customFormat="1" ht="12" customHeight="1" x14ac:dyDescent="0.2"/>
    <row r="119" customFormat="1" ht="12" customHeight="1" x14ac:dyDescent="0.2"/>
    <row r="120" customFormat="1" ht="12" customHeight="1" x14ac:dyDescent="0.2"/>
    <row r="121" customFormat="1" ht="12" customHeight="1" x14ac:dyDescent="0.2"/>
    <row r="122" customFormat="1" ht="12" customHeight="1" x14ac:dyDescent="0.2"/>
    <row r="123" customFormat="1" ht="12" customHeight="1" x14ac:dyDescent="0.2"/>
    <row r="124" customFormat="1" ht="12" customHeight="1" x14ac:dyDescent="0.2"/>
    <row r="125" customFormat="1" ht="12" customHeight="1" x14ac:dyDescent="0.2"/>
    <row r="126" customFormat="1" ht="12" customHeight="1" x14ac:dyDescent="0.2"/>
    <row r="127" customFormat="1" ht="12" customHeight="1" x14ac:dyDescent="0.2"/>
    <row r="128" customFormat="1" ht="12" customHeight="1" x14ac:dyDescent="0.2"/>
    <row r="129" customFormat="1" ht="12" customHeight="1" x14ac:dyDescent="0.2"/>
    <row r="130" customFormat="1" ht="12" customHeight="1" x14ac:dyDescent="0.2"/>
    <row r="131" customFormat="1" ht="12" customHeight="1" x14ac:dyDescent="0.2"/>
    <row r="132" customFormat="1" ht="12" customHeight="1" x14ac:dyDescent="0.2"/>
    <row r="133" customFormat="1" ht="12" customHeight="1" x14ac:dyDescent="0.2"/>
    <row r="134" customFormat="1" ht="12" customHeight="1" x14ac:dyDescent="0.2"/>
    <row r="135" customFormat="1" ht="12" customHeight="1" x14ac:dyDescent="0.2"/>
    <row r="136" customFormat="1" ht="12" customHeight="1" x14ac:dyDescent="0.2"/>
    <row r="137" customFormat="1" ht="12" customHeight="1" x14ac:dyDescent="0.2"/>
    <row r="138" customFormat="1" ht="12" customHeight="1" x14ac:dyDescent="0.2"/>
    <row r="139" customFormat="1" ht="12" customHeight="1" x14ac:dyDescent="0.2"/>
    <row r="140" customFormat="1" ht="12" customHeight="1" x14ac:dyDescent="0.2"/>
    <row r="141" customFormat="1" ht="12" customHeight="1" x14ac:dyDescent="0.2"/>
    <row r="142" customFormat="1" ht="12" customHeight="1" x14ac:dyDescent="0.2"/>
    <row r="143" customFormat="1" ht="12" customHeight="1" x14ac:dyDescent="0.2"/>
    <row r="144" customFormat="1" ht="12" customHeight="1" x14ac:dyDescent="0.2"/>
    <row r="145" customFormat="1" ht="12" customHeight="1" x14ac:dyDescent="0.2"/>
    <row r="146" customFormat="1" ht="12" customHeight="1" x14ac:dyDescent="0.2"/>
    <row r="147" customFormat="1" ht="12" customHeight="1" x14ac:dyDescent="0.2"/>
    <row r="148" customFormat="1" ht="12" customHeight="1" x14ac:dyDescent="0.2"/>
    <row r="149" customFormat="1" ht="12" customHeight="1" x14ac:dyDescent="0.2"/>
    <row r="150" customFormat="1" ht="12" customHeight="1" x14ac:dyDescent="0.2"/>
    <row r="151" customFormat="1" ht="12" customHeight="1" x14ac:dyDescent="0.2"/>
    <row r="152" customFormat="1" ht="12" customHeight="1" x14ac:dyDescent="0.2"/>
    <row r="153" customFormat="1" ht="12" customHeight="1" x14ac:dyDescent="0.2"/>
    <row r="154" customFormat="1" ht="12" customHeight="1" x14ac:dyDescent="0.2"/>
    <row r="155" customFormat="1" ht="12" customHeight="1" x14ac:dyDescent="0.2"/>
    <row r="156" customFormat="1" ht="12" customHeight="1" x14ac:dyDescent="0.2"/>
    <row r="157" customFormat="1" ht="12" customHeight="1" x14ac:dyDescent="0.2"/>
    <row r="158" customFormat="1" ht="12" customHeight="1" x14ac:dyDescent="0.2"/>
    <row r="159" customFormat="1" ht="12" customHeight="1" x14ac:dyDescent="0.2"/>
    <row r="160" customFormat="1" ht="12" customHeight="1" x14ac:dyDescent="0.2"/>
    <row r="161" customFormat="1" ht="12" customHeight="1" x14ac:dyDescent="0.2"/>
    <row r="162" customFormat="1" ht="12" customHeight="1" x14ac:dyDescent="0.2"/>
    <row r="163" customFormat="1" ht="12" customHeight="1" x14ac:dyDescent="0.2"/>
    <row r="164" customFormat="1" ht="12" customHeight="1" x14ac:dyDescent="0.2"/>
    <row r="165" customFormat="1" ht="12" customHeight="1" x14ac:dyDescent="0.2"/>
    <row r="166" customFormat="1" ht="12" customHeight="1" x14ac:dyDescent="0.2"/>
    <row r="167" customFormat="1" ht="12" customHeight="1" x14ac:dyDescent="0.2"/>
    <row r="168" customFormat="1" ht="12" customHeight="1" x14ac:dyDescent="0.2"/>
    <row r="169" customFormat="1" ht="12" customHeight="1" x14ac:dyDescent="0.2"/>
    <row r="170" customFormat="1" ht="12" customHeight="1" x14ac:dyDescent="0.2"/>
    <row r="171" customFormat="1" ht="12" customHeight="1" x14ac:dyDescent="0.2"/>
    <row r="172" customFormat="1" ht="12" customHeight="1" x14ac:dyDescent="0.2"/>
    <row r="173" customFormat="1" ht="12" customHeight="1" x14ac:dyDescent="0.2"/>
    <row r="174" customFormat="1" ht="12" customHeight="1" x14ac:dyDescent="0.2"/>
    <row r="175" customFormat="1" ht="12" customHeight="1" x14ac:dyDescent="0.2"/>
    <row r="176" customFormat="1" ht="12" customHeight="1" x14ac:dyDescent="0.2"/>
    <row r="177" customFormat="1" ht="12" customHeight="1" x14ac:dyDescent="0.2"/>
    <row r="178" customFormat="1" ht="12" customHeight="1" x14ac:dyDescent="0.2"/>
    <row r="179" customFormat="1" ht="12" customHeight="1" x14ac:dyDescent="0.2"/>
    <row r="180" customFormat="1" ht="12" customHeight="1" x14ac:dyDescent="0.2"/>
    <row r="181" customFormat="1" ht="12" customHeight="1" x14ac:dyDescent="0.2"/>
    <row r="182" customFormat="1" ht="12" customHeight="1" x14ac:dyDescent="0.2"/>
    <row r="183" customFormat="1" ht="12" customHeight="1" x14ac:dyDescent="0.2"/>
    <row r="184" customFormat="1" ht="12" customHeight="1" x14ac:dyDescent="0.2"/>
    <row r="185" customFormat="1" ht="12" customHeight="1" x14ac:dyDescent="0.2"/>
    <row r="186" customFormat="1" ht="12" customHeight="1" x14ac:dyDescent="0.2"/>
    <row r="187" customFormat="1" ht="12" customHeight="1" x14ac:dyDescent="0.2"/>
    <row r="188" customFormat="1" ht="12" customHeight="1" x14ac:dyDescent="0.2"/>
    <row r="189" customFormat="1" ht="12" customHeight="1" x14ac:dyDescent="0.2"/>
    <row r="190" customFormat="1" ht="12" customHeight="1" x14ac:dyDescent="0.2"/>
    <row r="191" customFormat="1" ht="12" customHeight="1" x14ac:dyDescent="0.2"/>
    <row r="192" customFormat="1" ht="12" customHeight="1" x14ac:dyDescent="0.2"/>
    <row r="193" customFormat="1" ht="12" customHeight="1" x14ac:dyDescent="0.2"/>
    <row r="194" customFormat="1" ht="12" customHeight="1" x14ac:dyDescent="0.2"/>
    <row r="195" customFormat="1" ht="12" customHeight="1" x14ac:dyDescent="0.2"/>
    <row r="196" customFormat="1" ht="12" customHeight="1" x14ac:dyDescent="0.2"/>
    <row r="197" customFormat="1" ht="12" customHeight="1" x14ac:dyDescent="0.2"/>
    <row r="198" customFormat="1" ht="12" customHeight="1" x14ac:dyDescent="0.2"/>
    <row r="199" customFormat="1" ht="12" customHeight="1" x14ac:dyDescent="0.2"/>
    <row r="200" customFormat="1" ht="12" customHeight="1" x14ac:dyDescent="0.2"/>
    <row r="201" customFormat="1" ht="12" customHeight="1" x14ac:dyDescent="0.2"/>
    <row r="202" customFormat="1" ht="12" customHeight="1" x14ac:dyDescent="0.2"/>
    <row r="203" customFormat="1" ht="12" customHeight="1" x14ac:dyDescent="0.2"/>
    <row r="204" customFormat="1" ht="12" customHeight="1" x14ac:dyDescent="0.2"/>
    <row r="205" customFormat="1" ht="12" customHeight="1" x14ac:dyDescent="0.2"/>
    <row r="206" customFormat="1" ht="12" customHeight="1" x14ac:dyDescent="0.2"/>
    <row r="207" customFormat="1" ht="12" customHeight="1" x14ac:dyDescent="0.2"/>
    <row r="208" customFormat="1" ht="12" customHeight="1" x14ac:dyDescent="0.2"/>
    <row r="209" customFormat="1" ht="12" customHeight="1" x14ac:dyDescent="0.2"/>
    <row r="210" customFormat="1" ht="12" customHeight="1" x14ac:dyDescent="0.2"/>
    <row r="211" customFormat="1" ht="12" customHeight="1" x14ac:dyDescent="0.2"/>
    <row r="212" customFormat="1" ht="12" customHeight="1" x14ac:dyDescent="0.2"/>
    <row r="213" customFormat="1" ht="12" customHeight="1" x14ac:dyDescent="0.2"/>
    <row r="214" customFormat="1" ht="12" customHeight="1" x14ac:dyDescent="0.2"/>
    <row r="215" customFormat="1" ht="12" customHeight="1" x14ac:dyDescent="0.2"/>
    <row r="216" customFormat="1" ht="12" customHeight="1" x14ac:dyDescent="0.2"/>
    <row r="217" customFormat="1" ht="12" customHeight="1" x14ac:dyDescent="0.2"/>
    <row r="218" customFormat="1" ht="12" customHeight="1" x14ac:dyDescent="0.2"/>
    <row r="219" customFormat="1" ht="12" customHeight="1" x14ac:dyDescent="0.2"/>
    <row r="220" customFormat="1" ht="12" customHeight="1" x14ac:dyDescent="0.2"/>
    <row r="221" customFormat="1" ht="12" customHeight="1" x14ac:dyDescent="0.2"/>
    <row r="222" customFormat="1" ht="12" customHeight="1" x14ac:dyDescent="0.2"/>
    <row r="223" customFormat="1" ht="12" customHeight="1" x14ac:dyDescent="0.2"/>
    <row r="224" customFormat="1" ht="12" customHeight="1" x14ac:dyDescent="0.2"/>
    <row r="225" customFormat="1" ht="12" customHeight="1" x14ac:dyDescent="0.2"/>
    <row r="226" customFormat="1" ht="12" customHeight="1" x14ac:dyDescent="0.2"/>
    <row r="227" customFormat="1" ht="12" customHeight="1" x14ac:dyDescent="0.2"/>
    <row r="228" customFormat="1" ht="12" customHeight="1" x14ac:dyDescent="0.2"/>
    <row r="229" customFormat="1" ht="12" customHeight="1" x14ac:dyDescent="0.2"/>
    <row r="230" customFormat="1" ht="12" customHeight="1" x14ac:dyDescent="0.2"/>
    <row r="231" customFormat="1" ht="12" customHeight="1" x14ac:dyDescent="0.2"/>
    <row r="232" customFormat="1" ht="12" customHeight="1" x14ac:dyDescent="0.2"/>
    <row r="233" customFormat="1" ht="12" customHeight="1" x14ac:dyDescent="0.2"/>
    <row r="234" customFormat="1" ht="12" customHeight="1" x14ac:dyDescent="0.2"/>
    <row r="235" customFormat="1" ht="12" customHeight="1" x14ac:dyDescent="0.2"/>
    <row r="236" customFormat="1" ht="12" customHeight="1" x14ac:dyDescent="0.2"/>
    <row r="237" customFormat="1" ht="12" customHeight="1" x14ac:dyDescent="0.2"/>
    <row r="238" customFormat="1" ht="12" customHeight="1" x14ac:dyDescent="0.2"/>
    <row r="239" customFormat="1" ht="12" customHeight="1" x14ac:dyDescent="0.2"/>
    <row r="240" customFormat="1" ht="12" customHeight="1" x14ac:dyDescent="0.2"/>
    <row r="241" customFormat="1" ht="12" customHeight="1" x14ac:dyDescent="0.2"/>
    <row r="242" customFormat="1" ht="12" customHeight="1" x14ac:dyDescent="0.2"/>
    <row r="243" customFormat="1" ht="12" customHeight="1" x14ac:dyDescent="0.2"/>
    <row r="244" customFormat="1" ht="12" customHeight="1" x14ac:dyDescent="0.2"/>
    <row r="245" customFormat="1" ht="12" customHeight="1" x14ac:dyDescent="0.2"/>
    <row r="246" customFormat="1" ht="12" customHeight="1" x14ac:dyDescent="0.2"/>
    <row r="247" customFormat="1" ht="12" customHeight="1" x14ac:dyDescent="0.2"/>
    <row r="248" customFormat="1" ht="12" customHeight="1" x14ac:dyDescent="0.2"/>
    <row r="249" customFormat="1" ht="12" customHeight="1" x14ac:dyDescent="0.2"/>
    <row r="250" customFormat="1" ht="12" customHeight="1" x14ac:dyDescent="0.2"/>
    <row r="251" customFormat="1" ht="12" customHeight="1" x14ac:dyDescent="0.2"/>
    <row r="252" customFormat="1" ht="12" customHeight="1" x14ac:dyDescent="0.2"/>
    <row r="253" customFormat="1" ht="12" customHeight="1" x14ac:dyDescent="0.2"/>
    <row r="254" customFormat="1" ht="12" customHeight="1" x14ac:dyDescent="0.2"/>
    <row r="255" customFormat="1" ht="12" customHeight="1" x14ac:dyDescent="0.2"/>
    <row r="256" customFormat="1" ht="12" customHeight="1" x14ac:dyDescent="0.2"/>
    <row r="257" customFormat="1" ht="12" customHeight="1" x14ac:dyDescent="0.2"/>
    <row r="258" customFormat="1" ht="12" customHeight="1" x14ac:dyDescent="0.2"/>
    <row r="259" customFormat="1" ht="12" customHeight="1" x14ac:dyDescent="0.2"/>
    <row r="260" customFormat="1" ht="12" customHeight="1" x14ac:dyDescent="0.2"/>
    <row r="261" customFormat="1" ht="12" customHeight="1" x14ac:dyDescent="0.2"/>
    <row r="262" customFormat="1" ht="12" customHeight="1" x14ac:dyDescent="0.2"/>
    <row r="263" customFormat="1" ht="12" customHeight="1" x14ac:dyDescent="0.2"/>
    <row r="264" customFormat="1" ht="12" customHeight="1" x14ac:dyDescent="0.2"/>
    <row r="265" customFormat="1" ht="12" customHeight="1" x14ac:dyDescent="0.2"/>
    <row r="266" customFormat="1" ht="12" customHeight="1" x14ac:dyDescent="0.2"/>
    <row r="267" customFormat="1" ht="12" customHeight="1" x14ac:dyDescent="0.2"/>
    <row r="268" customFormat="1" ht="12" customHeight="1" x14ac:dyDescent="0.2"/>
    <row r="269" customFormat="1" ht="12" customHeight="1" x14ac:dyDescent="0.2"/>
    <row r="270" customFormat="1" ht="12" customHeight="1" x14ac:dyDescent="0.2"/>
    <row r="271" customFormat="1" ht="12" customHeight="1" x14ac:dyDescent="0.2"/>
    <row r="272" customFormat="1" ht="12" customHeight="1" x14ac:dyDescent="0.2"/>
    <row r="273" customFormat="1" ht="12" customHeight="1" x14ac:dyDescent="0.2"/>
    <row r="274" customFormat="1" ht="12" customHeight="1" x14ac:dyDescent="0.2"/>
    <row r="275" customFormat="1" ht="12" customHeight="1" x14ac:dyDescent="0.2"/>
    <row r="276" customFormat="1" ht="12" customHeight="1" x14ac:dyDescent="0.2"/>
    <row r="277" customFormat="1" ht="12" customHeight="1" x14ac:dyDescent="0.2"/>
    <row r="278" customFormat="1" ht="12" customHeight="1" x14ac:dyDescent="0.2"/>
    <row r="279" customFormat="1" ht="12" customHeight="1" x14ac:dyDescent="0.2"/>
    <row r="280" customFormat="1" ht="12" customHeight="1" x14ac:dyDescent="0.2"/>
    <row r="281" customFormat="1" ht="12" customHeight="1" x14ac:dyDescent="0.2"/>
    <row r="282" customFormat="1" ht="12" customHeight="1" x14ac:dyDescent="0.2"/>
    <row r="283" customFormat="1" ht="12" customHeight="1" x14ac:dyDescent="0.2"/>
    <row r="284" customFormat="1" ht="12" customHeight="1" x14ac:dyDescent="0.2"/>
    <row r="285" customFormat="1" ht="12" customHeight="1" x14ac:dyDescent="0.2"/>
    <row r="286" customFormat="1" ht="12" customHeight="1" x14ac:dyDescent="0.2"/>
    <row r="287" customFormat="1" ht="12" customHeight="1" x14ac:dyDescent="0.2"/>
    <row r="288" customFormat="1" ht="12" customHeight="1" x14ac:dyDescent="0.2"/>
    <row r="289" customFormat="1" ht="12" customHeight="1" x14ac:dyDescent="0.2"/>
    <row r="290" customFormat="1" ht="12" customHeight="1" x14ac:dyDescent="0.2"/>
    <row r="291" customFormat="1" ht="12" customHeight="1" x14ac:dyDescent="0.2"/>
    <row r="292" customFormat="1" ht="12" customHeight="1" x14ac:dyDescent="0.2"/>
    <row r="293" customFormat="1" ht="12" customHeight="1" x14ac:dyDescent="0.2"/>
    <row r="294" customFormat="1" ht="12" customHeight="1" x14ac:dyDescent="0.2"/>
    <row r="295" customFormat="1" ht="12" customHeight="1" x14ac:dyDescent="0.2"/>
    <row r="296" customFormat="1" ht="12" customHeight="1" x14ac:dyDescent="0.2"/>
    <row r="297" customFormat="1" ht="12" customHeight="1" x14ac:dyDescent="0.2"/>
    <row r="298" customFormat="1" ht="12" customHeight="1" x14ac:dyDescent="0.2"/>
    <row r="299" customFormat="1" ht="12" customHeight="1" x14ac:dyDescent="0.2"/>
    <row r="300" customFormat="1" ht="12" customHeight="1" x14ac:dyDescent="0.2"/>
    <row r="301" customFormat="1" ht="12" customHeight="1" x14ac:dyDescent="0.2"/>
    <row r="302" customFormat="1" ht="12" customHeight="1" x14ac:dyDescent="0.2"/>
    <row r="303" customFormat="1" ht="12" customHeight="1" x14ac:dyDescent="0.2"/>
    <row r="304" customFormat="1" ht="12" customHeight="1" x14ac:dyDescent="0.2"/>
    <row r="305" customFormat="1" ht="12" customHeight="1" x14ac:dyDescent="0.2"/>
    <row r="306" customFormat="1" ht="12" customHeight="1" x14ac:dyDescent="0.2"/>
    <row r="307" customFormat="1" ht="12" customHeight="1" x14ac:dyDescent="0.2"/>
    <row r="308" customFormat="1" ht="12" customHeight="1" x14ac:dyDescent="0.2"/>
    <row r="309" customFormat="1" ht="12" customHeight="1" x14ac:dyDescent="0.2"/>
    <row r="310" customFormat="1" ht="12" customHeight="1" x14ac:dyDescent="0.2"/>
    <row r="311" customFormat="1" ht="12" customHeight="1" x14ac:dyDescent="0.2"/>
    <row r="312" customFormat="1" ht="12" customHeight="1" x14ac:dyDescent="0.2"/>
    <row r="313" customFormat="1" ht="12" customHeight="1" x14ac:dyDescent="0.2"/>
    <row r="314" customFormat="1" ht="12" customHeight="1" x14ac:dyDescent="0.2"/>
    <row r="315" customFormat="1" ht="12" customHeight="1" x14ac:dyDescent="0.2"/>
    <row r="316" customFormat="1" ht="12" customHeight="1" x14ac:dyDescent="0.2"/>
    <row r="317" customFormat="1" ht="12" customHeight="1" x14ac:dyDescent="0.2"/>
    <row r="318" customFormat="1" ht="12" customHeight="1" x14ac:dyDescent="0.2"/>
    <row r="319" customFormat="1" ht="12" customHeight="1" x14ac:dyDescent="0.2"/>
    <row r="320" customFormat="1" ht="12" customHeight="1" x14ac:dyDescent="0.2"/>
    <row r="321" customFormat="1" ht="12" customHeight="1" x14ac:dyDescent="0.2"/>
    <row r="322" customFormat="1" ht="12" customHeight="1" x14ac:dyDescent="0.2"/>
    <row r="323" customFormat="1" ht="12" customHeight="1" x14ac:dyDescent="0.2"/>
    <row r="324" customFormat="1" ht="12" customHeight="1" x14ac:dyDescent="0.2"/>
    <row r="325" customFormat="1" ht="12" customHeight="1" x14ac:dyDescent="0.2"/>
    <row r="326" customFormat="1" ht="12" customHeight="1" x14ac:dyDescent="0.2"/>
    <row r="327" customFormat="1" ht="12" customHeight="1" x14ac:dyDescent="0.2"/>
    <row r="328" customFormat="1" ht="12" customHeight="1" x14ac:dyDescent="0.2"/>
    <row r="329" customFormat="1" ht="12" customHeight="1" x14ac:dyDescent="0.2"/>
    <row r="330" customFormat="1" ht="12" customHeight="1" x14ac:dyDescent="0.2"/>
    <row r="331" customFormat="1" ht="12" customHeight="1" x14ac:dyDescent="0.2"/>
    <row r="332" customFormat="1" ht="12" customHeight="1" x14ac:dyDescent="0.2"/>
    <row r="333" customFormat="1" ht="12" customHeight="1" x14ac:dyDescent="0.2"/>
    <row r="334" customFormat="1" ht="12" customHeight="1" x14ac:dyDescent="0.2"/>
    <row r="335" customFormat="1" ht="12" customHeight="1" x14ac:dyDescent="0.2"/>
    <row r="336" customFormat="1" ht="12" customHeight="1" x14ac:dyDescent="0.2"/>
    <row r="337" customFormat="1" ht="12" customHeight="1" x14ac:dyDescent="0.2"/>
    <row r="338" customFormat="1" ht="12" customHeight="1" x14ac:dyDescent="0.2"/>
    <row r="339" customFormat="1" ht="12" customHeight="1" x14ac:dyDescent="0.2"/>
    <row r="340" customFormat="1" ht="12" customHeight="1" x14ac:dyDescent="0.2"/>
    <row r="341" customFormat="1" ht="12" customHeight="1" x14ac:dyDescent="0.2"/>
    <row r="342" customFormat="1" ht="12" customHeight="1" x14ac:dyDescent="0.2"/>
    <row r="343" customFormat="1" ht="12" customHeight="1" x14ac:dyDescent="0.2"/>
    <row r="344" customFormat="1" ht="12" customHeight="1" x14ac:dyDescent="0.2"/>
    <row r="345" customFormat="1" ht="12" customHeight="1" x14ac:dyDescent="0.2"/>
    <row r="346" customFormat="1" ht="12" customHeight="1" x14ac:dyDescent="0.2"/>
    <row r="347" customFormat="1" ht="12" customHeight="1" x14ac:dyDescent="0.2"/>
    <row r="348" customFormat="1" ht="12" customHeight="1" x14ac:dyDescent="0.2"/>
    <row r="349" customFormat="1" ht="12" customHeight="1" x14ac:dyDescent="0.2"/>
    <row r="350" customFormat="1" ht="12" customHeight="1" x14ac:dyDescent="0.2"/>
    <row r="351" customFormat="1" ht="12" customHeight="1" x14ac:dyDescent="0.2"/>
    <row r="352" customFormat="1" ht="12" customHeight="1" x14ac:dyDescent="0.2"/>
    <row r="353" customFormat="1" ht="12" customHeight="1" x14ac:dyDescent="0.2"/>
    <row r="354" customFormat="1" ht="12" customHeight="1" x14ac:dyDescent="0.2"/>
    <row r="355" customFormat="1" ht="12" customHeight="1" x14ac:dyDescent="0.2"/>
    <row r="356" customFormat="1" ht="12" customHeight="1" x14ac:dyDescent="0.2"/>
    <row r="357" customFormat="1" ht="12" customHeight="1" x14ac:dyDescent="0.2"/>
    <row r="358" customFormat="1" ht="12" customHeight="1" x14ac:dyDescent="0.2"/>
    <row r="359" customFormat="1" ht="12" customHeight="1" x14ac:dyDescent="0.2"/>
    <row r="360" customFormat="1" ht="12" customHeight="1" x14ac:dyDescent="0.2"/>
    <row r="361" customFormat="1" ht="12" customHeight="1" x14ac:dyDescent="0.2"/>
    <row r="362" customFormat="1" ht="12" customHeight="1" x14ac:dyDescent="0.2"/>
    <row r="363" customFormat="1" ht="12" customHeight="1" x14ac:dyDescent="0.2"/>
    <row r="364" customFormat="1" ht="12" customHeight="1" x14ac:dyDescent="0.2"/>
    <row r="365" customFormat="1" ht="12" customHeight="1" x14ac:dyDescent="0.2"/>
    <row r="366" customFormat="1" ht="12" customHeight="1" x14ac:dyDescent="0.2"/>
    <row r="367" customFormat="1" ht="12" customHeight="1" x14ac:dyDescent="0.2"/>
    <row r="368" customFormat="1" ht="12" customHeight="1" x14ac:dyDescent="0.2"/>
    <row r="369" customFormat="1" ht="12" customHeight="1" x14ac:dyDescent="0.2"/>
    <row r="370" customFormat="1" ht="12" customHeight="1" x14ac:dyDescent="0.2"/>
    <row r="371" customFormat="1" ht="12" customHeight="1" x14ac:dyDescent="0.2"/>
    <row r="372" customFormat="1" ht="12" customHeight="1" x14ac:dyDescent="0.2"/>
    <row r="373" customFormat="1" ht="12" customHeight="1" x14ac:dyDescent="0.2"/>
    <row r="374" customFormat="1" ht="12" customHeight="1" x14ac:dyDescent="0.2"/>
    <row r="375" customFormat="1" ht="12" customHeight="1" x14ac:dyDescent="0.2"/>
    <row r="376" customFormat="1" ht="12" customHeight="1" x14ac:dyDescent="0.2"/>
    <row r="377" customFormat="1" ht="12" customHeight="1" x14ac:dyDescent="0.2"/>
    <row r="378" customFormat="1" ht="12" customHeight="1" x14ac:dyDescent="0.2"/>
    <row r="379" customFormat="1" ht="12" customHeight="1" x14ac:dyDescent="0.2"/>
    <row r="380" customFormat="1" ht="12" customHeight="1" x14ac:dyDescent="0.2"/>
    <row r="381" customFormat="1" ht="12" customHeight="1" x14ac:dyDescent="0.2"/>
    <row r="382" customFormat="1" ht="12" customHeight="1" x14ac:dyDescent="0.2"/>
    <row r="383" customFormat="1" ht="12" customHeight="1" x14ac:dyDescent="0.2"/>
    <row r="384" customFormat="1" ht="12" customHeight="1" x14ac:dyDescent="0.2"/>
    <row r="385" customFormat="1" ht="12" customHeight="1" x14ac:dyDescent="0.2"/>
    <row r="386" customFormat="1" ht="12" customHeight="1" x14ac:dyDescent="0.2"/>
    <row r="387" customFormat="1" ht="12" customHeight="1" x14ac:dyDescent="0.2"/>
    <row r="388" customFormat="1" ht="12" customHeight="1" x14ac:dyDescent="0.2"/>
    <row r="389" customFormat="1" ht="12" customHeight="1" x14ac:dyDescent="0.2"/>
    <row r="390" customFormat="1" ht="12" customHeight="1" x14ac:dyDescent="0.2"/>
    <row r="391" customFormat="1" ht="12" customHeight="1" x14ac:dyDescent="0.2"/>
    <row r="392" customFormat="1" ht="12" customHeight="1" x14ac:dyDescent="0.2"/>
    <row r="393" customFormat="1" ht="12" customHeight="1" x14ac:dyDescent="0.2"/>
    <row r="394" customFormat="1" ht="12" customHeight="1" x14ac:dyDescent="0.2"/>
    <row r="395" customFormat="1" ht="12" customHeight="1" x14ac:dyDescent="0.2"/>
    <row r="396" customFormat="1" ht="12" customHeight="1" x14ac:dyDescent="0.2"/>
    <row r="397" customFormat="1" ht="12" customHeight="1" x14ac:dyDescent="0.2"/>
    <row r="398" customFormat="1" ht="12" customHeight="1" x14ac:dyDescent="0.2"/>
    <row r="399" customFormat="1" ht="12" customHeight="1" x14ac:dyDescent="0.2"/>
    <row r="400" customFormat="1" ht="12" customHeight="1" x14ac:dyDescent="0.2"/>
    <row r="401" customFormat="1" ht="12" customHeight="1" x14ac:dyDescent="0.2"/>
    <row r="402" customFormat="1" ht="12" customHeight="1" x14ac:dyDescent="0.2"/>
    <row r="403" customFormat="1" ht="12" customHeight="1" x14ac:dyDescent="0.2"/>
    <row r="404" customFormat="1" ht="12" customHeight="1" x14ac:dyDescent="0.2"/>
    <row r="405" customFormat="1" ht="12" customHeight="1" x14ac:dyDescent="0.2"/>
    <row r="406" customFormat="1" ht="12" customHeight="1" x14ac:dyDescent="0.2"/>
    <row r="407" customFormat="1" ht="12" customHeight="1" x14ac:dyDescent="0.2"/>
    <row r="408" customFormat="1" ht="12" customHeight="1" x14ac:dyDescent="0.2"/>
    <row r="409" customFormat="1" ht="12" customHeight="1" x14ac:dyDescent="0.2"/>
    <row r="410" customFormat="1" ht="12" customHeight="1" x14ac:dyDescent="0.2"/>
    <row r="411" customFormat="1" ht="12" customHeight="1" x14ac:dyDescent="0.2"/>
    <row r="412" customFormat="1" ht="12" customHeight="1" x14ac:dyDescent="0.2"/>
    <row r="413" customFormat="1" ht="12" customHeight="1" x14ac:dyDescent="0.2"/>
    <row r="414" customFormat="1" ht="12" customHeight="1" x14ac:dyDescent="0.2"/>
    <row r="415" customFormat="1" ht="12" customHeight="1" x14ac:dyDescent="0.2"/>
    <row r="416" customFormat="1" ht="12" customHeight="1" x14ac:dyDescent="0.2"/>
    <row r="417" customFormat="1" ht="12" customHeight="1" x14ac:dyDescent="0.2"/>
    <row r="418" customFormat="1" ht="12" customHeight="1" x14ac:dyDescent="0.2"/>
    <row r="419" customFormat="1" ht="12" customHeight="1" x14ac:dyDescent="0.2"/>
    <row r="420" customFormat="1" ht="12" customHeight="1" x14ac:dyDescent="0.2"/>
    <row r="421" customFormat="1" ht="12" customHeight="1" x14ac:dyDescent="0.2"/>
    <row r="422" customFormat="1" ht="12" customHeight="1" x14ac:dyDescent="0.2"/>
    <row r="423" customFormat="1" ht="12" customHeight="1" x14ac:dyDescent="0.2"/>
    <row r="424" customFormat="1" ht="12" customHeight="1" x14ac:dyDescent="0.2"/>
    <row r="425" customFormat="1" ht="12" customHeight="1" x14ac:dyDescent="0.2"/>
    <row r="426" customFormat="1" ht="12" customHeight="1" x14ac:dyDescent="0.2"/>
    <row r="427" customFormat="1" ht="12" customHeight="1" x14ac:dyDescent="0.2"/>
    <row r="428" customFormat="1" ht="12" customHeight="1" x14ac:dyDescent="0.2"/>
    <row r="429" customFormat="1" ht="12" customHeight="1" x14ac:dyDescent="0.2"/>
    <row r="430" customFormat="1" ht="12" customHeight="1" x14ac:dyDescent="0.2"/>
    <row r="431" customFormat="1" ht="12" customHeight="1" x14ac:dyDescent="0.2"/>
    <row r="432" customFormat="1" ht="12" customHeight="1" x14ac:dyDescent="0.2"/>
    <row r="433" customFormat="1" ht="12" customHeight="1" x14ac:dyDescent="0.2"/>
    <row r="434" customFormat="1" ht="12" customHeight="1" x14ac:dyDescent="0.2"/>
    <row r="435" customFormat="1" ht="12" customHeight="1" x14ac:dyDescent="0.2"/>
    <row r="436" customFormat="1" ht="12" customHeight="1" x14ac:dyDescent="0.2"/>
    <row r="437" customFormat="1" ht="12" customHeight="1" x14ac:dyDescent="0.2"/>
    <row r="438" customFormat="1" ht="12" customHeight="1" x14ac:dyDescent="0.2"/>
    <row r="439" customFormat="1" ht="12" customHeight="1" x14ac:dyDescent="0.2"/>
    <row r="440" customFormat="1" ht="12" customHeight="1" x14ac:dyDescent="0.2"/>
    <row r="441" customFormat="1" ht="12" customHeight="1" x14ac:dyDescent="0.2"/>
    <row r="442" customFormat="1" ht="12" customHeight="1" x14ac:dyDescent="0.2"/>
    <row r="443" customFormat="1" ht="12" customHeight="1" x14ac:dyDescent="0.2"/>
    <row r="444" customFormat="1" ht="12" customHeight="1" x14ac:dyDescent="0.2"/>
    <row r="445" customFormat="1" ht="12" customHeight="1" x14ac:dyDescent="0.2"/>
    <row r="446" customFormat="1" ht="12" customHeight="1" x14ac:dyDescent="0.2"/>
    <row r="447" customFormat="1" ht="12" customHeight="1" x14ac:dyDescent="0.2"/>
    <row r="448" customFormat="1" ht="12" customHeight="1" x14ac:dyDescent="0.2"/>
    <row r="449" customFormat="1" ht="12" customHeight="1" x14ac:dyDescent="0.2"/>
    <row r="450" customFormat="1" ht="12" customHeight="1" x14ac:dyDescent="0.2"/>
    <row r="451" customFormat="1" ht="12" customHeight="1" x14ac:dyDescent="0.2"/>
    <row r="452" customFormat="1" ht="12" customHeight="1" x14ac:dyDescent="0.2"/>
    <row r="453" customFormat="1" ht="12" customHeight="1" x14ac:dyDescent="0.2"/>
    <row r="454" customFormat="1" ht="12" customHeight="1" x14ac:dyDescent="0.2"/>
    <row r="455" customFormat="1" ht="12" customHeight="1" x14ac:dyDescent="0.2"/>
    <row r="456" customFormat="1" ht="12" customHeight="1" x14ac:dyDescent="0.2"/>
    <row r="457" customFormat="1" ht="12" customHeight="1" x14ac:dyDescent="0.2"/>
    <row r="458" customFormat="1" ht="12" customHeight="1" x14ac:dyDescent="0.2"/>
    <row r="459" customFormat="1" ht="12" customHeight="1" x14ac:dyDescent="0.2"/>
    <row r="460" customFormat="1" ht="12" customHeight="1" x14ac:dyDescent="0.2"/>
    <row r="461" customFormat="1" ht="12" customHeight="1" x14ac:dyDescent="0.2"/>
    <row r="462" customFormat="1" ht="12" customHeight="1" x14ac:dyDescent="0.2"/>
    <row r="463" customFormat="1" ht="12" customHeight="1" x14ac:dyDescent="0.2"/>
    <row r="464" customFormat="1" ht="12" customHeight="1" x14ac:dyDescent="0.2"/>
    <row r="465" customFormat="1" ht="12" customHeight="1" x14ac:dyDescent="0.2"/>
    <row r="466" customFormat="1" ht="12" customHeight="1" x14ac:dyDescent="0.2"/>
    <row r="467" customFormat="1" ht="12" customHeight="1" x14ac:dyDescent="0.2"/>
    <row r="468" customFormat="1" ht="12" customHeight="1" x14ac:dyDescent="0.2"/>
    <row r="469" customFormat="1" ht="12" customHeight="1" x14ac:dyDescent="0.2"/>
    <row r="470" customFormat="1" ht="12" customHeight="1" x14ac:dyDescent="0.2"/>
    <row r="471" customFormat="1" ht="12" customHeight="1" x14ac:dyDescent="0.2"/>
    <row r="472" customFormat="1" ht="12" customHeight="1" x14ac:dyDescent="0.2"/>
    <row r="473" customFormat="1" ht="12" customHeight="1" x14ac:dyDescent="0.2"/>
    <row r="474" customFormat="1" ht="12" customHeight="1" x14ac:dyDescent="0.2"/>
    <row r="475" customFormat="1" ht="12" customHeight="1" x14ac:dyDescent="0.2"/>
    <row r="476" customFormat="1" ht="12" customHeight="1" x14ac:dyDescent="0.2"/>
    <row r="477" customFormat="1" ht="12" customHeight="1" x14ac:dyDescent="0.2"/>
    <row r="478" customFormat="1" ht="12" customHeight="1" x14ac:dyDescent="0.2"/>
    <row r="479" customFormat="1" ht="12" customHeight="1" x14ac:dyDescent="0.2"/>
    <row r="480" customFormat="1" ht="12" customHeight="1" x14ac:dyDescent="0.2"/>
    <row r="481" customFormat="1" ht="12" customHeight="1" x14ac:dyDescent="0.2"/>
    <row r="482" customFormat="1" ht="12" customHeight="1" x14ac:dyDescent="0.2"/>
    <row r="483" customFormat="1" ht="12" customHeight="1" x14ac:dyDescent="0.2"/>
    <row r="484" customFormat="1" ht="12" customHeight="1" x14ac:dyDescent="0.2"/>
    <row r="485" customFormat="1" ht="12" customHeight="1" x14ac:dyDescent="0.2"/>
    <row r="486" customFormat="1" ht="12" customHeight="1" x14ac:dyDescent="0.2"/>
    <row r="487" customFormat="1" ht="12" customHeight="1" x14ac:dyDescent="0.2"/>
    <row r="488" customFormat="1" ht="12" customHeight="1" x14ac:dyDescent="0.2"/>
    <row r="489" customFormat="1" ht="12" customHeight="1" x14ac:dyDescent="0.2"/>
    <row r="490" customFormat="1" ht="12" customHeight="1" x14ac:dyDescent="0.2"/>
    <row r="491" customFormat="1" ht="12" customHeight="1" x14ac:dyDescent="0.2"/>
    <row r="492" customFormat="1" ht="12" customHeight="1" x14ac:dyDescent="0.2"/>
    <row r="493" customFormat="1" ht="12" customHeight="1" x14ac:dyDescent="0.2"/>
    <row r="494" customFormat="1" ht="12" customHeight="1" x14ac:dyDescent="0.2"/>
    <row r="495" customFormat="1" ht="12" customHeight="1" x14ac:dyDescent="0.2"/>
    <row r="496" customFormat="1" ht="12" customHeight="1" x14ac:dyDescent="0.2"/>
    <row r="497" customFormat="1" ht="12" customHeight="1" x14ac:dyDescent="0.2"/>
    <row r="498" customFormat="1" ht="12" customHeight="1" x14ac:dyDescent="0.2"/>
    <row r="499" customFormat="1" ht="12" customHeight="1" x14ac:dyDescent="0.2"/>
    <row r="500" customFormat="1" ht="12" customHeight="1" x14ac:dyDescent="0.2"/>
    <row r="501" customFormat="1" ht="12" customHeight="1" x14ac:dyDescent="0.2"/>
    <row r="502" customFormat="1" ht="12" customHeight="1" x14ac:dyDescent="0.2"/>
    <row r="503" customFormat="1" ht="12" customHeight="1" x14ac:dyDescent="0.2"/>
    <row r="504" customFormat="1" ht="12" customHeight="1" x14ac:dyDescent="0.2"/>
    <row r="505" customFormat="1" ht="12" customHeight="1" x14ac:dyDescent="0.2"/>
    <row r="506" customFormat="1" ht="12" customHeight="1" x14ac:dyDescent="0.2"/>
    <row r="507" customFormat="1" ht="12" customHeight="1" x14ac:dyDescent="0.2"/>
    <row r="508" customFormat="1" ht="12" customHeight="1" x14ac:dyDescent="0.2"/>
    <row r="509" customFormat="1" ht="12" customHeight="1" x14ac:dyDescent="0.2"/>
    <row r="510" customFormat="1" ht="12" customHeight="1" x14ac:dyDescent="0.2"/>
    <row r="511" customFormat="1" ht="12" customHeight="1" x14ac:dyDescent="0.2"/>
    <row r="512" customFormat="1" ht="12" customHeight="1" x14ac:dyDescent="0.2"/>
    <row r="513" customFormat="1" ht="12" customHeight="1" x14ac:dyDescent="0.2"/>
    <row r="514" customFormat="1" ht="12" customHeight="1" x14ac:dyDescent="0.2"/>
    <row r="515" customFormat="1" ht="12" customHeight="1" x14ac:dyDescent="0.2"/>
    <row r="516" customFormat="1" ht="12" customHeight="1" x14ac:dyDescent="0.2"/>
    <row r="517" customFormat="1" ht="12" customHeight="1" x14ac:dyDescent="0.2"/>
    <row r="518" customFormat="1" ht="12" customHeight="1" x14ac:dyDescent="0.2"/>
    <row r="519" customFormat="1" ht="12" customHeight="1" x14ac:dyDescent="0.2"/>
    <row r="520" customFormat="1" ht="12" customHeight="1" x14ac:dyDescent="0.2"/>
    <row r="521" customFormat="1" ht="12" customHeight="1" x14ac:dyDescent="0.2"/>
    <row r="522" customFormat="1" ht="12" customHeight="1" x14ac:dyDescent="0.2"/>
    <row r="523" customFormat="1" ht="12" customHeight="1" x14ac:dyDescent="0.2"/>
    <row r="524" customFormat="1" ht="12" customHeight="1" x14ac:dyDescent="0.2"/>
    <row r="525" customFormat="1" ht="12" customHeight="1" x14ac:dyDescent="0.2"/>
    <row r="526" customFormat="1" ht="12" customHeight="1" x14ac:dyDescent="0.2"/>
    <row r="527" customFormat="1" ht="12" customHeight="1" x14ac:dyDescent="0.2"/>
    <row r="528" customFormat="1" ht="12" customHeight="1" x14ac:dyDescent="0.2"/>
    <row r="529" customFormat="1" ht="12" customHeight="1" x14ac:dyDescent="0.2"/>
    <row r="530" customFormat="1" ht="12" customHeight="1" x14ac:dyDescent="0.2"/>
    <row r="531" customFormat="1" ht="12" customHeight="1" x14ac:dyDescent="0.2"/>
    <row r="532" customFormat="1" ht="12" customHeight="1" x14ac:dyDescent="0.2"/>
    <row r="533" customFormat="1" ht="12" customHeight="1" x14ac:dyDescent="0.2"/>
    <row r="534" customFormat="1" ht="12" customHeight="1" x14ac:dyDescent="0.2"/>
    <row r="535" customFormat="1" ht="12" customHeight="1" x14ac:dyDescent="0.2"/>
    <row r="536" customFormat="1" ht="12" customHeight="1" x14ac:dyDescent="0.2"/>
    <row r="537" customFormat="1" ht="12" customHeight="1" x14ac:dyDescent="0.2"/>
    <row r="538" customFormat="1" ht="12" customHeight="1" x14ac:dyDescent="0.2"/>
    <row r="539" customFormat="1" ht="12" customHeight="1" x14ac:dyDescent="0.2"/>
    <row r="540" customFormat="1" ht="12" customHeight="1" x14ac:dyDescent="0.2"/>
    <row r="541" customFormat="1" ht="12" customHeight="1" x14ac:dyDescent="0.2"/>
    <row r="542" customFormat="1" ht="12" customHeight="1" x14ac:dyDescent="0.2"/>
    <row r="543" customFormat="1" ht="12" customHeight="1" x14ac:dyDescent="0.2"/>
    <row r="544" customFormat="1" ht="12" customHeight="1" x14ac:dyDescent="0.2"/>
    <row r="545" customFormat="1" ht="12" customHeight="1" x14ac:dyDescent="0.2"/>
    <row r="546" customFormat="1" ht="12" customHeight="1" x14ac:dyDescent="0.2"/>
    <row r="547" customFormat="1" ht="12" customHeight="1" x14ac:dyDescent="0.2"/>
    <row r="548" customFormat="1" ht="12" customHeight="1" x14ac:dyDescent="0.2"/>
    <row r="549" customFormat="1" ht="12" customHeight="1" x14ac:dyDescent="0.2"/>
    <row r="550" customFormat="1" ht="12" customHeight="1" x14ac:dyDescent="0.2"/>
    <row r="551" customFormat="1" ht="12" customHeight="1" x14ac:dyDescent="0.2"/>
    <row r="552" customFormat="1" ht="12" customHeight="1" x14ac:dyDescent="0.2"/>
    <row r="553" customFormat="1" ht="12" customHeight="1" x14ac:dyDescent="0.2"/>
    <row r="554" customFormat="1" ht="12" customHeight="1" x14ac:dyDescent="0.2"/>
    <row r="555" customFormat="1" ht="12" customHeight="1" x14ac:dyDescent="0.2"/>
    <row r="556" customFormat="1" ht="12" customHeight="1" x14ac:dyDescent="0.2"/>
    <row r="557" customFormat="1" ht="12" customHeight="1" x14ac:dyDescent="0.2"/>
    <row r="558" customFormat="1" ht="12" customHeight="1" x14ac:dyDescent="0.2"/>
    <row r="559" customFormat="1" ht="12" customHeight="1" x14ac:dyDescent="0.2"/>
    <row r="560" customFormat="1" ht="12" customHeight="1" x14ac:dyDescent="0.2"/>
    <row r="561" customFormat="1" ht="12" customHeight="1" x14ac:dyDescent="0.2"/>
    <row r="562" customFormat="1" ht="12" customHeight="1" x14ac:dyDescent="0.2"/>
    <row r="563" customFormat="1" ht="12" customHeight="1" x14ac:dyDescent="0.2"/>
    <row r="564" customFormat="1" ht="12" customHeight="1" x14ac:dyDescent="0.2"/>
    <row r="565" customFormat="1" ht="12" customHeight="1" x14ac:dyDescent="0.2"/>
    <row r="566" customFormat="1" ht="12" customHeight="1" x14ac:dyDescent="0.2"/>
    <row r="567" customFormat="1" ht="12" customHeight="1" x14ac:dyDescent="0.2"/>
    <row r="568" customFormat="1" ht="12" customHeight="1" x14ac:dyDescent="0.2"/>
    <row r="569" customFormat="1" ht="12" customHeight="1" x14ac:dyDescent="0.2"/>
    <row r="570" customFormat="1" ht="12" customHeight="1" x14ac:dyDescent="0.2"/>
    <row r="571" customFormat="1" ht="12" customHeight="1" x14ac:dyDescent="0.2"/>
    <row r="572" customFormat="1" ht="12" customHeight="1" x14ac:dyDescent="0.2"/>
    <row r="573" customFormat="1" ht="12" customHeight="1" x14ac:dyDescent="0.2"/>
    <row r="574" customFormat="1" ht="12" customHeight="1" x14ac:dyDescent="0.2"/>
    <row r="575" customFormat="1" ht="12" customHeight="1" x14ac:dyDescent="0.2"/>
    <row r="576" customFormat="1" ht="12" customHeight="1" x14ac:dyDescent="0.2"/>
    <row r="577" customFormat="1" ht="12" customHeight="1" x14ac:dyDescent="0.2"/>
    <row r="578" customFormat="1" ht="12" customHeight="1" x14ac:dyDescent="0.2"/>
    <row r="579" customFormat="1" ht="12" customHeight="1" x14ac:dyDescent="0.2"/>
    <row r="580" customFormat="1" ht="12" customHeight="1" x14ac:dyDescent="0.2"/>
    <row r="581" customFormat="1" ht="12" customHeight="1" x14ac:dyDescent="0.2"/>
    <row r="582" customFormat="1" ht="12" customHeight="1" x14ac:dyDescent="0.2"/>
    <row r="583" customFormat="1" ht="12" customHeight="1" x14ac:dyDescent="0.2"/>
    <row r="584" customFormat="1" ht="12" customHeight="1" x14ac:dyDescent="0.2"/>
    <row r="585" customFormat="1" ht="12" customHeight="1" x14ac:dyDescent="0.2"/>
    <row r="586" customFormat="1" ht="12" customHeight="1" x14ac:dyDescent="0.2"/>
    <row r="587" customFormat="1" ht="12" customHeight="1" x14ac:dyDescent="0.2"/>
    <row r="588" customFormat="1" ht="12" customHeight="1" x14ac:dyDescent="0.2"/>
    <row r="589" customFormat="1" ht="12" customHeight="1" x14ac:dyDescent="0.2"/>
    <row r="590" customFormat="1" ht="12" customHeight="1" x14ac:dyDescent="0.2"/>
    <row r="591" customFormat="1" ht="12" customHeight="1" x14ac:dyDescent="0.2"/>
    <row r="592" customFormat="1" ht="12" customHeight="1" x14ac:dyDescent="0.2"/>
    <row r="593" customFormat="1" ht="12" customHeight="1" x14ac:dyDescent="0.2"/>
    <row r="594" customFormat="1" ht="12" customHeight="1" x14ac:dyDescent="0.2"/>
    <row r="595" customFormat="1" ht="12" customHeight="1" x14ac:dyDescent="0.2"/>
    <row r="596" customFormat="1" ht="12" customHeight="1" x14ac:dyDescent="0.2"/>
    <row r="597" customFormat="1" ht="12" customHeight="1" x14ac:dyDescent="0.2"/>
    <row r="598" customFormat="1" ht="12" customHeight="1" x14ac:dyDescent="0.2"/>
    <row r="599" customFormat="1" ht="12" customHeight="1" x14ac:dyDescent="0.2"/>
    <row r="600" customFormat="1" ht="12" customHeight="1" x14ac:dyDescent="0.2"/>
    <row r="601" customFormat="1" ht="12" customHeight="1" x14ac:dyDescent="0.2"/>
    <row r="602" customFormat="1" ht="12" customHeight="1" x14ac:dyDescent="0.2"/>
    <row r="603" customFormat="1" ht="12" customHeight="1" x14ac:dyDescent="0.2"/>
    <row r="604" customFormat="1" ht="12" customHeight="1" x14ac:dyDescent="0.2"/>
    <row r="605" customFormat="1" ht="12" customHeight="1" x14ac:dyDescent="0.2"/>
    <row r="606" customFormat="1" ht="12" customHeight="1" x14ac:dyDescent="0.2"/>
    <row r="607" customFormat="1" ht="12" customHeight="1" x14ac:dyDescent="0.2"/>
    <row r="608" customFormat="1" ht="12" customHeight="1" x14ac:dyDescent="0.2"/>
    <row r="609" customFormat="1" ht="12" customHeight="1" x14ac:dyDescent="0.2"/>
    <row r="610" customFormat="1" ht="12" customHeight="1" x14ac:dyDescent="0.2"/>
    <row r="611" customFormat="1" ht="12" customHeight="1" x14ac:dyDescent="0.2"/>
    <row r="612" customFormat="1" ht="12" customHeight="1" x14ac:dyDescent="0.2"/>
    <row r="613" customFormat="1" ht="12" customHeight="1" x14ac:dyDescent="0.2"/>
    <row r="614" customFormat="1" ht="12" customHeight="1" x14ac:dyDescent="0.2"/>
    <row r="615" customFormat="1" ht="12" customHeight="1" x14ac:dyDescent="0.2"/>
    <row r="616" customFormat="1" ht="12" customHeight="1" x14ac:dyDescent="0.2"/>
    <row r="617" customFormat="1" ht="12" customHeight="1" x14ac:dyDescent="0.2"/>
    <row r="618" customFormat="1" ht="12" customHeight="1" x14ac:dyDescent="0.2"/>
    <row r="619" customFormat="1" ht="12" customHeight="1" x14ac:dyDescent="0.2"/>
    <row r="620" customFormat="1" ht="12" customHeight="1" x14ac:dyDescent="0.2"/>
    <row r="621" customFormat="1" ht="12" customHeight="1" x14ac:dyDescent="0.2"/>
    <row r="622" customFormat="1" ht="12" customHeight="1" x14ac:dyDescent="0.2"/>
    <row r="623" customFormat="1" ht="12" customHeight="1" x14ac:dyDescent="0.2"/>
    <row r="624" customFormat="1" ht="12" customHeight="1" x14ac:dyDescent="0.2"/>
    <row r="625" customFormat="1" ht="12" customHeight="1" x14ac:dyDescent="0.2"/>
    <row r="626" customFormat="1" ht="12" customHeight="1" x14ac:dyDescent="0.2"/>
    <row r="627" customFormat="1" ht="12" customHeight="1" x14ac:dyDescent="0.2"/>
    <row r="628" customFormat="1" ht="12" customHeight="1" x14ac:dyDescent="0.2"/>
    <row r="629" customFormat="1" ht="12" customHeight="1" x14ac:dyDescent="0.2"/>
    <row r="630" customFormat="1" ht="12" customHeight="1" x14ac:dyDescent="0.2"/>
    <row r="631" customFormat="1" ht="12" customHeight="1" x14ac:dyDescent="0.2"/>
    <row r="632" customFormat="1" ht="12" customHeight="1" x14ac:dyDescent="0.2"/>
    <row r="633" customFormat="1" ht="12" customHeight="1" x14ac:dyDescent="0.2"/>
    <row r="634" customFormat="1" ht="12" customHeight="1" x14ac:dyDescent="0.2"/>
    <row r="635" customFormat="1" ht="12" customHeight="1" x14ac:dyDescent="0.2"/>
    <row r="636" customFormat="1" ht="12" customHeight="1" x14ac:dyDescent="0.2"/>
    <row r="637" customFormat="1" ht="12" customHeight="1" x14ac:dyDescent="0.2"/>
    <row r="638" customFormat="1" ht="12" customHeight="1" x14ac:dyDescent="0.2"/>
    <row r="639" customFormat="1" ht="12" customHeight="1" x14ac:dyDescent="0.2"/>
    <row r="640" customFormat="1" ht="12" customHeight="1" x14ac:dyDescent="0.2"/>
    <row r="641" customFormat="1" ht="12" customHeight="1" x14ac:dyDescent="0.2"/>
    <row r="642" customFormat="1" ht="12" customHeight="1" x14ac:dyDescent="0.2"/>
    <row r="643" customFormat="1" ht="12" customHeight="1" x14ac:dyDescent="0.2"/>
    <row r="644" customFormat="1" ht="12" customHeight="1" x14ac:dyDescent="0.2"/>
    <row r="645" customFormat="1" ht="12" customHeight="1" x14ac:dyDescent="0.2"/>
    <row r="646" customFormat="1" ht="12" customHeight="1" x14ac:dyDescent="0.2"/>
    <row r="647" customFormat="1" ht="12" customHeight="1" x14ac:dyDescent="0.2"/>
    <row r="648" customFormat="1" ht="12" customHeight="1" x14ac:dyDescent="0.2"/>
    <row r="649" customFormat="1" ht="12" customHeight="1" x14ac:dyDescent="0.2"/>
    <row r="650" customFormat="1" ht="12" customHeight="1" x14ac:dyDescent="0.2"/>
    <row r="651" customFormat="1" ht="12" customHeight="1" x14ac:dyDescent="0.2"/>
    <row r="652" customFormat="1" ht="12" customHeight="1" x14ac:dyDescent="0.2"/>
    <row r="653" customFormat="1" ht="12" customHeight="1" x14ac:dyDescent="0.2"/>
    <row r="654" customFormat="1" ht="12" customHeight="1" x14ac:dyDescent="0.2"/>
    <row r="655" customFormat="1" ht="12" customHeight="1" x14ac:dyDescent="0.2"/>
    <row r="656" customFormat="1" ht="12" customHeight="1" x14ac:dyDescent="0.2"/>
    <row r="657" customFormat="1" ht="12" customHeight="1" x14ac:dyDescent="0.2"/>
    <row r="658" customFormat="1" ht="12" customHeight="1" x14ac:dyDescent="0.2"/>
    <row r="659" customFormat="1" ht="12" customHeight="1" x14ac:dyDescent="0.2"/>
    <row r="660" customFormat="1" ht="12" customHeight="1" x14ac:dyDescent="0.2"/>
    <row r="661" customFormat="1" ht="12" customHeight="1" x14ac:dyDescent="0.2"/>
    <row r="662" customFormat="1" ht="12" customHeight="1" x14ac:dyDescent="0.2"/>
    <row r="663" customFormat="1" ht="12" customHeight="1" x14ac:dyDescent="0.2"/>
    <row r="664" customFormat="1" ht="12" customHeight="1" x14ac:dyDescent="0.2"/>
    <row r="665" customFormat="1" ht="12" customHeight="1" x14ac:dyDescent="0.2"/>
    <row r="666" customFormat="1" ht="12" customHeight="1" x14ac:dyDescent="0.2"/>
    <row r="667" customFormat="1" ht="12" customHeight="1" x14ac:dyDescent="0.2"/>
    <row r="668" customFormat="1" ht="12" customHeight="1" x14ac:dyDescent="0.2"/>
    <row r="669" customFormat="1" ht="12" customHeight="1" x14ac:dyDescent="0.2"/>
    <row r="670" customFormat="1" ht="12" customHeight="1" x14ac:dyDescent="0.2"/>
    <row r="671" customFormat="1" ht="12" customHeight="1" x14ac:dyDescent="0.2"/>
    <row r="672" customFormat="1" ht="12" customHeight="1" x14ac:dyDescent="0.2"/>
    <row r="673" customFormat="1" ht="12" customHeight="1" x14ac:dyDescent="0.2"/>
    <row r="674" customFormat="1" ht="12" customHeight="1" x14ac:dyDescent="0.2"/>
    <row r="675" customFormat="1" ht="12" customHeight="1" x14ac:dyDescent="0.2"/>
    <row r="676" customFormat="1" ht="12" customHeight="1" x14ac:dyDescent="0.2"/>
    <row r="677" customFormat="1" ht="12" customHeight="1" x14ac:dyDescent="0.2"/>
    <row r="678" customFormat="1" ht="12" customHeight="1" x14ac:dyDescent="0.2"/>
    <row r="679" customFormat="1" ht="12" customHeight="1" x14ac:dyDescent="0.2"/>
    <row r="680" customFormat="1" ht="12" customHeight="1" x14ac:dyDescent="0.2"/>
    <row r="681" customFormat="1" ht="12" customHeight="1" x14ac:dyDescent="0.2"/>
    <row r="682" customFormat="1" ht="12" customHeight="1" x14ac:dyDescent="0.2"/>
    <row r="683" customFormat="1" ht="12" customHeight="1" x14ac:dyDescent="0.2"/>
    <row r="684" customFormat="1" ht="12" customHeight="1" x14ac:dyDescent="0.2"/>
    <row r="685" customFormat="1" ht="12" customHeight="1" x14ac:dyDescent="0.2"/>
    <row r="686" customFormat="1" ht="12" customHeight="1" x14ac:dyDescent="0.2"/>
    <row r="687" customFormat="1" ht="12" customHeight="1" x14ac:dyDescent="0.2"/>
    <row r="688" customFormat="1" ht="12" customHeight="1" x14ac:dyDescent="0.2"/>
    <row r="689" customFormat="1" ht="12" customHeight="1" x14ac:dyDescent="0.2"/>
    <row r="690" customFormat="1" ht="12" customHeight="1" x14ac:dyDescent="0.2"/>
    <row r="691" customFormat="1" ht="12" customHeight="1" x14ac:dyDescent="0.2"/>
    <row r="692" customFormat="1" ht="12" customHeight="1" x14ac:dyDescent="0.2"/>
    <row r="693" customFormat="1" ht="12" customHeight="1" x14ac:dyDescent="0.2"/>
    <row r="694" customFormat="1" ht="12" customHeight="1" x14ac:dyDescent="0.2"/>
    <row r="695" customFormat="1" ht="12" customHeight="1" x14ac:dyDescent="0.2"/>
    <row r="696" customFormat="1" ht="12" customHeight="1" x14ac:dyDescent="0.2"/>
    <row r="697" customFormat="1" ht="12" customHeight="1" x14ac:dyDescent="0.2"/>
    <row r="698" customFormat="1" ht="12" customHeight="1" x14ac:dyDescent="0.2"/>
    <row r="699" customFormat="1" ht="12" customHeight="1" x14ac:dyDescent="0.2"/>
    <row r="700" customFormat="1" ht="12" customHeight="1" x14ac:dyDescent="0.2"/>
    <row r="701" customFormat="1" ht="12" customHeight="1" x14ac:dyDescent="0.2"/>
    <row r="702" customFormat="1" ht="12" customHeight="1" x14ac:dyDescent="0.2"/>
    <row r="703" customFormat="1" ht="12" customHeight="1" x14ac:dyDescent="0.2"/>
    <row r="704" customFormat="1" ht="12" customHeight="1" x14ac:dyDescent="0.2"/>
    <row r="705" customFormat="1" ht="12" customHeight="1" x14ac:dyDescent="0.2"/>
    <row r="706" customFormat="1" ht="12" customHeight="1" x14ac:dyDescent="0.2"/>
    <row r="707" customFormat="1" ht="12" customHeight="1" x14ac:dyDescent="0.2"/>
    <row r="708" customFormat="1" ht="12" customHeight="1" x14ac:dyDescent="0.2"/>
    <row r="709" customFormat="1" ht="12" customHeight="1" x14ac:dyDescent="0.2"/>
    <row r="710" customFormat="1" ht="12" customHeight="1" x14ac:dyDescent="0.2"/>
    <row r="711" customFormat="1" ht="12" customHeight="1" x14ac:dyDescent="0.2"/>
    <row r="712" customFormat="1" ht="12" customHeight="1" x14ac:dyDescent="0.2"/>
    <row r="713" customFormat="1" ht="12" customHeight="1" x14ac:dyDescent="0.2"/>
    <row r="714" customFormat="1" ht="12" customHeight="1" x14ac:dyDescent="0.2"/>
    <row r="715" customFormat="1" ht="12" customHeight="1" x14ac:dyDescent="0.2"/>
    <row r="716" customFormat="1" ht="12" customHeight="1" x14ac:dyDescent="0.2"/>
    <row r="717" customFormat="1" ht="12" customHeight="1" x14ac:dyDescent="0.2"/>
    <row r="718" customFormat="1" ht="12" customHeight="1" x14ac:dyDescent="0.2"/>
    <row r="719" customFormat="1" ht="12" customHeight="1" x14ac:dyDescent="0.2"/>
    <row r="720" customFormat="1" ht="12" customHeight="1" x14ac:dyDescent="0.2"/>
    <row r="721" customFormat="1" ht="12" customHeight="1" x14ac:dyDescent="0.2"/>
    <row r="722" customFormat="1" ht="12" customHeight="1" x14ac:dyDescent="0.2"/>
    <row r="723" customFormat="1" ht="12" customHeight="1" x14ac:dyDescent="0.2"/>
    <row r="724" customFormat="1" ht="12" customHeight="1" x14ac:dyDescent="0.2"/>
    <row r="725" customFormat="1" ht="12" customHeight="1" x14ac:dyDescent="0.2"/>
    <row r="726" customFormat="1" ht="12" customHeight="1" x14ac:dyDescent="0.2"/>
    <row r="727" customFormat="1" ht="12" customHeight="1" x14ac:dyDescent="0.2"/>
    <row r="728" customFormat="1" ht="12" customHeight="1" x14ac:dyDescent="0.2"/>
    <row r="729" customFormat="1" ht="12" customHeight="1" x14ac:dyDescent="0.2"/>
    <row r="730" customFormat="1" ht="12" customHeight="1" x14ac:dyDescent="0.2"/>
    <row r="731" customFormat="1" ht="12" customHeight="1" x14ac:dyDescent="0.2"/>
    <row r="732" customFormat="1" ht="12" customHeight="1" x14ac:dyDescent="0.2"/>
    <row r="733" customFormat="1" ht="12" customHeight="1" x14ac:dyDescent="0.2"/>
    <row r="734" customFormat="1" ht="12" customHeight="1" x14ac:dyDescent="0.2"/>
    <row r="735" customFormat="1" ht="12" customHeight="1" x14ac:dyDescent="0.2"/>
    <row r="736" customFormat="1" ht="12" customHeight="1" x14ac:dyDescent="0.2"/>
    <row r="737" customFormat="1" ht="12" customHeight="1" x14ac:dyDescent="0.2"/>
    <row r="738" customFormat="1" ht="12" customHeight="1" x14ac:dyDescent="0.2"/>
    <row r="739" customFormat="1" ht="12" customHeight="1" x14ac:dyDescent="0.2"/>
    <row r="740" customFormat="1" ht="12" customHeight="1" x14ac:dyDescent="0.2"/>
    <row r="741" customFormat="1" ht="12" customHeight="1" x14ac:dyDescent="0.2"/>
    <row r="742" customFormat="1" ht="12" customHeight="1" x14ac:dyDescent="0.2"/>
    <row r="743" customFormat="1" ht="12" customHeight="1" x14ac:dyDescent="0.2"/>
    <row r="744" customFormat="1" ht="12" customHeight="1" x14ac:dyDescent="0.2"/>
    <row r="745" customFormat="1" ht="12" customHeight="1" x14ac:dyDescent="0.2"/>
    <row r="746" customFormat="1" ht="12" customHeight="1" x14ac:dyDescent="0.2"/>
    <row r="747" customFormat="1" ht="12" customHeight="1" x14ac:dyDescent="0.2"/>
    <row r="748" customFormat="1" ht="12" customHeight="1" x14ac:dyDescent="0.2"/>
    <row r="749" customFormat="1" ht="12" customHeight="1" x14ac:dyDescent="0.2"/>
    <row r="750" customFormat="1" ht="12" customHeight="1" x14ac:dyDescent="0.2"/>
    <row r="751" customFormat="1" ht="12" customHeight="1" x14ac:dyDescent="0.2"/>
    <row r="752" customFormat="1" ht="12" customHeight="1" x14ac:dyDescent="0.2"/>
    <row r="753" customFormat="1" ht="12" customHeight="1" x14ac:dyDescent="0.2"/>
    <row r="754" customFormat="1" ht="12" customHeight="1" x14ac:dyDescent="0.2"/>
    <row r="755" customFormat="1" ht="12" customHeight="1" x14ac:dyDescent="0.2"/>
    <row r="756" customFormat="1" ht="12" customHeight="1" x14ac:dyDescent="0.2"/>
    <row r="757" customFormat="1" ht="12" customHeight="1" x14ac:dyDescent="0.2"/>
    <row r="758" customFormat="1" ht="12" customHeight="1" x14ac:dyDescent="0.2"/>
    <row r="759" customFormat="1" ht="12" customHeight="1" x14ac:dyDescent="0.2"/>
    <row r="760" customFormat="1" ht="12" customHeight="1" x14ac:dyDescent="0.2"/>
    <row r="761" customFormat="1" ht="12" customHeight="1" x14ac:dyDescent="0.2"/>
    <row r="762" customFormat="1" ht="12" customHeight="1" x14ac:dyDescent="0.2"/>
    <row r="763" customFormat="1" ht="12" customHeight="1" x14ac:dyDescent="0.2"/>
    <row r="764" customFormat="1" ht="12" customHeight="1" x14ac:dyDescent="0.2"/>
    <row r="765" customFormat="1" ht="12" customHeight="1" x14ac:dyDescent="0.2"/>
    <row r="766" customFormat="1" ht="12" customHeight="1" x14ac:dyDescent="0.2"/>
    <row r="767" customFormat="1" ht="12" customHeight="1" x14ac:dyDescent="0.2"/>
    <row r="768" customFormat="1" ht="12" customHeight="1" x14ac:dyDescent="0.2"/>
    <row r="769" customFormat="1" ht="12" customHeight="1" x14ac:dyDescent="0.2"/>
    <row r="770" customFormat="1" ht="12" customHeight="1" x14ac:dyDescent="0.2"/>
    <row r="771" customFormat="1" ht="12" customHeight="1" x14ac:dyDescent="0.2"/>
    <row r="772" customFormat="1" ht="12" customHeight="1" x14ac:dyDescent="0.2"/>
    <row r="773" customFormat="1" ht="12" customHeight="1" x14ac:dyDescent="0.2"/>
    <row r="774" customFormat="1" ht="12" customHeight="1" x14ac:dyDescent="0.2"/>
    <row r="775" customFormat="1" ht="12" customHeight="1" x14ac:dyDescent="0.2"/>
    <row r="776" customFormat="1" ht="12" customHeight="1" x14ac:dyDescent="0.2"/>
    <row r="777" customFormat="1" ht="12" customHeight="1" x14ac:dyDescent="0.2"/>
    <row r="778" customFormat="1" ht="12" customHeight="1" x14ac:dyDescent="0.2"/>
    <row r="779" customFormat="1" ht="12" customHeight="1" x14ac:dyDescent="0.2"/>
    <row r="780" customFormat="1" ht="12" customHeight="1" x14ac:dyDescent="0.2"/>
    <row r="781" customFormat="1" ht="12" customHeight="1" x14ac:dyDescent="0.2"/>
    <row r="782" customFormat="1" ht="12" customHeight="1" x14ac:dyDescent="0.2"/>
    <row r="783" customFormat="1" ht="12" customHeight="1" x14ac:dyDescent="0.2"/>
    <row r="784" customFormat="1" ht="12" customHeight="1" x14ac:dyDescent="0.2"/>
    <row r="785" customFormat="1" ht="12" customHeight="1" x14ac:dyDescent="0.2"/>
    <row r="786" customFormat="1" ht="12" customHeight="1" x14ac:dyDescent="0.2"/>
    <row r="787" customFormat="1" ht="12" customHeight="1" x14ac:dyDescent="0.2"/>
    <row r="788" customFormat="1" ht="12" customHeight="1" x14ac:dyDescent="0.2"/>
    <row r="789" customFormat="1" ht="12" customHeight="1" x14ac:dyDescent="0.2"/>
    <row r="790" customFormat="1" ht="12" customHeight="1" x14ac:dyDescent="0.2"/>
    <row r="791" customFormat="1" ht="12" customHeight="1" x14ac:dyDescent="0.2"/>
    <row r="792" customFormat="1" ht="12" customHeight="1" x14ac:dyDescent="0.2"/>
    <row r="793" customFormat="1" ht="12" customHeight="1" x14ac:dyDescent="0.2"/>
    <row r="794" customFormat="1" ht="12" customHeight="1" x14ac:dyDescent="0.2"/>
    <row r="795" customFormat="1" ht="12" customHeight="1" x14ac:dyDescent="0.2"/>
    <row r="796" customFormat="1" ht="12" customHeight="1" x14ac:dyDescent="0.2"/>
    <row r="797" customFormat="1" ht="12" customHeight="1" x14ac:dyDescent="0.2"/>
    <row r="798" customFormat="1" ht="12" customHeight="1" x14ac:dyDescent="0.2"/>
    <row r="799" customFormat="1" ht="12" customHeight="1" x14ac:dyDescent="0.2"/>
    <row r="800" customFormat="1" ht="12" customHeight="1" x14ac:dyDescent="0.2"/>
    <row r="801" customFormat="1" ht="12" customHeight="1" x14ac:dyDescent="0.2"/>
    <row r="802" customFormat="1" ht="12" customHeight="1" x14ac:dyDescent="0.2"/>
    <row r="803" customFormat="1" ht="12" customHeight="1" x14ac:dyDescent="0.2"/>
    <row r="804" customFormat="1" ht="12" customHeight="1" x14ac:dyDescent="0.2"/>
    <row r="805" customFormat="1" ht="12" customHeight="1" x14ac:dyDescent="0.2"/>
    <row r="806" customFormat="1" ht="12" customHeight="1" x14ac:dyDescent="0.2"/>
    <row r="807" customFormat="1" ht="12" customHeight="1" x14ac:dyDescent="0.2"/>
    <row r="808" customFormat="1" ht="12" customHeight="1" x14ac:dyDescent="0.2"/>
    <row r="809" customFormat="1" ht="12" customHeight="1" x14ac:dyDescent="0.2"/>
    <row r="810" customFormat="1" ht="12" customHeight="1" x14ac:dyDescent="0.2"/>
    <row r="811" customFormat="1" ht="12" customHeight="1" x14ac:dyDescent="0.2"/>
    <row r="812" customFormat="1" ht="12" customHeight="1" x14ac:dyDescent="0.2"/>
    <row r="813" customFormat="1" ht="12" customHeight="1" x14ac:dyDescent="0.2"/>
    <row r="814" customFormat="1" ht="12" customHeight="1" x14ac:dyDescent="0.2"/>
    <row r="815" customFormat="1" ht="12" customHeight="1" x14ac:dyDescent="0.2"/>
    <row r="816" customFormat="1" ht="12" customHeight="1" x14ac:dyDescent="0.2"/>
    <row r="817" customFormat="1" ht="12" customHeight="1" x14ac:dyDescent="0.2"/>
    <row r="818" customFormat="1" ht="12" customHeight="1" x14ac:dyDescent="0.2"/>
    <row r="819" customFormat="1" ht="12" customHeight="1" x14ac:dyDescent="0.2"/>
    <row r="820" customFormat="1" ht="12" customHeight="1" x14ac:dyDescent="0.2"/>
    <row r="821" customFormat="1" ht="12" customHeight="1" x14ac:dyDescent="0.2"/>
    <row r="822" customFormat="1" ht="12" customHeight="1" x14ac:dyDescent="0.2"/>
    <row r="823" customFormat="1" ht="12" customHeight="1" x14ac:dyDescent="0.2"/>
    <row r="824" customFormat="1" ht="12" customHeight="1" x14ac:dyDescent="0.2"/>
    <row r="825" customFormat="1" ht="12" customHeight="1" x14ac:dyDescent="0.2"/>
    <row r="826" customFormat="1" ht="12" customHeight="1" x14ac:dyDescent="0.2"/>
    <row r="827" customFormat="1" ht="12" customHeight="1" x14ac:dyDescent="0.2"/>
    <row r="828" customFormat="1" ht="12" customHeight="1" x14ac:dyDescent="0.2"/>
    <row r="829" customFormat="1" ht="12" customHeight="1" x14ac:dyDescent="0.2"/>
    <row r="830" customFormat="1" ht="12" customHeight="1" x14ac:dyDescent="0.2"/>
    <row r="831" customFormat="1" ht="12" customHeight="1" x14ac:dyDescent="0.2"/>
    <row r="832" customFormat="1" ht="12" customHeight="1" x14ac:dyDescent="0.2"/>
    <row r="833" customFormat="1" ht="12" customHeight="1" x14ac:dyDescent="0.2"/>
    <row r="834" customFormat="1" ht="12" customHeight="1" x14ac:dyDescent="0.2"/>
    <row r="835" customFormat="1" ht="12" customHeight="1" x14ac:dyDescent="0.2"/>
    <row r="836" customFormat="1" ht="12" customHeight="1" x14ac:dyDescent="0.2"/>
    <row r="837" customFormat="1" ht="12" customHeight="1" x14ac:dyDescent="0.2"/>
    <row r="838" customFormat="1" ht="12" customHeight="1" x14ac:dyDescent="0.2"/>
    <row r="839" customFormat="1" ht="12" customHeight="1" x14ac:dyDescent="0.2"/>
    <row r="840" customFormat="1" ht="12" customHeight="1" x14ac:dyDescent="0.2"/>
    <row r="841" customFormat="1" ht="12" customHeight="1" x14ac:dyDescent="0.2"/>
    <row r="842" customFormat="1" ht="12" customHeight="1" x14ac:dyDescent="0.2"/>
    <row r="843" customFormat="1" ht="12" customHeight="1" x14ac:dyDescent="0.2"/>
    <row r="844" customFormat="1" ht="12" customHeight="1" x14ac:dyDescent="0.2"/>
    <row r="845" customFormat="1" ht="12" customHeight="1" x14ac:dyDescent="0.2"/>
    <row r="846" customFormat="1" ht="12" customHeight="1" x14ac:dyDescent="0.2"/>
    <row r="847" customFormat="1" ht="12" customHeight="1" x14ac:dyDescent="0.2"/>
    <row r="848" customFormat="1" ht="12" customHeight="1" x14ac:dyDescent="0.2"/>
    <row r="849" customFormat="1" ht="12" customHeight="1" x14ac:dyDescent="0.2"/>
    <row r="850" customFormat="1" ht="12" customHeight="1" x14ac:dyDescent="0.2"/>
    <row r="851" customFormat="1" ht="12" customHeight="1" x14ac:dyDescent="0.2"/>
    <row r="852" customFormat="1" ht="12" customHeight="1" x14ac:dyDescent="0.2"/>
    <row r="853" customFormat="1" ht="12" customHeight="1" x14ac:dyDescent="0.2"/>
    <row r="854" customFormat="1" ht="12" customHeight="1" x14ac:dyDescent="0.2"/>
    <row r="855" customFormat="1" ht="12" customHeight="1" x14ac:dyDescent="0.2"/>
    <row r="856" customFormat="1" ht="12" customHeight="1" x14ac:dyDescent="0.2"/>
    <row r="857" customFormat="1" ht="12" customHeight="1" x14ac:dyDescent="0.2"/>
    <row r="858" customFormat="1" ht="12" customHeight="1" x14ac:dyDescent="0.2"/>
    <row r="859" customFormat="1" ht="12" customHeight="1" x14ac:dyDescent="0.2"/>
    <row r="860" customFormat="1" ht="12" customHeight="1" x14ac:dyDescent="0.2"/>
    <row r="861" customFormat="1" ht="12" customHeight="1" x14ac:dyDescent="0.2"/>
    <row r="862" customFormat="1" ht="12" customHeight="1" x14ac:dyDescent="0.2"/>
    <row r="863" customFormat="1" ht="12" customHeight="1" x14ac:dyDescent="0.2"/>
    <row r="864" customFormat="1" ht="12" customHeight="1" x14ac:dyDescent="0.2"/>
    <row r="865" customFormat="1" ht="12" customHeight="1" x14ac:dyDescent="0.2"/>
    <row r="866" customFormat="1" ht="12" customHeight="1" x14ac:dyDescent="0.2"/>
    <row r="867" customFormat="1" ht="12" customHeight="1" x14ac:dyDescent="0.2"/>
    <row r="868" customFormat="1" ht="12" customHeight="1" x14ac:dyDescent="0.2"/>
    <row r="869" customFormat="1" ht="12" customHeight="1" x14ac:dyDescent="0.2"/>
    <row r="870" customFormat="1" ht="12" customHeight="1" x14ac:dyDescent="0.2"/>
    <row r="871" customFormat="1" ht="12" customHeight="1" x14ac:dyDescent="0.2"/>
    <row r="872" customFormat="1" ht="12" customHeight="1" x14ac:dyDescent="0.2"/>
    <row r="873" customFormat="1" ht="12" customHeight="1" x14ac:dyDescent="0.2"/>
    <row r="874" customFormat="1" ht="12" customHeight="1" x14ac:dyDescent="0.2"/>
    <row r="875" customFormat="1" ht="12" customHeight="1" x14ac:dyDescent="0.2"/>
    <row r="876" customFormat="1" ht="12" customHeight="1" x14ac:dyDescent="0.2"/>
    <row r="877" customFormat="1" ht="12" customHeight="1" x14ac:dyDescent="0.2"/>
    <row r="878" customFormat="1" ht="12" customHeight="1" x14ac:dyDescent="0.2"/>
    <row r="879" customFormat="1" ht="12" customHeight="1" x14ac:dyDescent="0.2"/>
    <row r="880" customFormat="1" ht="12" customHeight="1" x14ac:dyDescent="0.2"/>
    <row r="881" customFormat="1" ht="12" customHeight="1" x14ac:dyDescent="0.2"/>
    <row r="882" customFormat="1" ht="12" customHeight="1" x14ac:dyDescent="0.2"/>
    <row r="883" customFormat="1" ht="12" customHeight="1" x14ac:dyDescent="0.2"/>
    <row r="884" customFormat="1" ht="12" customHeight="1" x14ac:dyDescent="0.2"/>
    <row r="885" customFormat="1" ht="12" customHeight="1" x14ac:dyDescent="0.2"/>
    <row r="886" customFormat="1" ht="12" customHeight="1" x14ac:dyDescent="0.2"/>
    <row r="887" customFormat="1" ht="12" customHeight="1" x14ac:dyDescent="0.2"/>
    <row r="888" customFormat="1" ht="12" customHeight="1" x14ac:dyDescent="0.2"/>
    <row r="889" customFormat="1" ht="12" customHeight="1" x14ac:dyDescent="0.2"/>
    <row r="890" customFormat="1" ht="12" customHeight="1" x14ac:dyDescent="0.2"/>
    <row r="891" customFormat="1" ht="12" customHeight="1" x14ac:dyDescent="0.2"/>
    <row r="892" customFormat="1" ht="12" customHeight="1" x14ac:dyDescent="0.2"/>
    <row r="893" customFormat="1" ht="12" customHeight="1" x14ac:dyDescent="0.2"/>
    <row r="894" customFormat="1" ht="12" customHeight="1" x14ac:dyDescent="0.2"/>
    <row r="895" customFormat="1" ht="12" customHeight="1" x14ac:dyDescent="0.2"/>
    <row r="896" customFormat="1" ht="12" customHeight="1" x14ac:dyDescent="0.2"/>
    <row r="897" customFormat="1" ht="12" customHeight="1" x14ac:dyDescent="0.2"/>
    <row r="898" customFormat="1" ht="12" customHeight="1" x14ac:dyDescent="0.2"/>
    <row r="899" customFormat="1" ht="12" customHeight="1" x14ac:dyDescent="0.2"/>
    <row r="900" customFormat="1" ht="12" customHeight="1" x14ac:dyDescent="0.2"/>
    <row r="901" customFormat="1" ht="12" customHeight="1" x14ac:dyDescent="0.2"/>
    <row r="902" customFormat="1" ht="12" customHeight="1" x14ac:dyDescent="0.2"/>
    <row r="903" customFormat="1" ht="12" customHeight="1" x14ac:dyDescent="0.2"/>
    <row r="904" customFormat="1" ht="12" customHeight="1" x14ac:dyDescent="0.2"/>
    <row r="905" customFormat="1" ht="12" customHeight="1" x14ac:dyDescent="0.2"/>
    <row r="906" customFormat="1" ht="12" customHeight="1" x14ac:dyDescent="0.2"/>
    <row r="907" customFormat="1" ht="12" customHeight="1" x14ac:dyDescent="0.2"/>
    <row r="908" customFormat="1" ht="12" customHeight="1" x14ac:dyDescent="0.2"/>
    <row r="909" customFormat="1" ht="12" customHeight="1" x14ac:dyDescent="0.2"/>
    <row r="910" customFormat="1" ht="12" customHeight="1" x14ac:dyDescent="0.2"/>
    <row r="911" customFormat="1" ht="12" customHeight="1" x14ac:dyDescent="0.2"/>
    <row r="912" customFormat="1" ht="12" customHeight="1" x14ac:dyDescent="0.2"/>
    <row r="913" customFormat="1" ht="12" customHeight="1" x14ac:dyDescent="0.2"/>
    <row r="914" customFormat="1" ht="12" customHeight="1" x14ac:dyDescent="0.2"/>
    <row r="915" customFormat="1" ht="12" customHeight="1" x14ac:dyDescent="0.2"/>
    <row r="916" customFormat="1" ht="12" customHeight="1" x14ac:dyDescent="0.2"/>
    <row r="917" customFormat="1" ht="12" customHeight="1" x14ac:dyDescent="0.2"/>
    <row r="918" customFormat="1" ht="12" customHeight="1" x14ac:dyDescent="0.2"/>
    <row r="919" customFormat="1" ht="12" customHeight="1" x14ac:dyDescent="0.2"/>
    <row r="920" customFormat="1" ht="12" customHeight="1" x14ac:dyDescent="0.2"/>
    <row r="921" customFormat="1" ht="12" customHeight="1" x14ac:dyDescent="0.2"/>
    <row r="922" customFormat="1" ht="12" customHeight="1" x14ac:dyDescent="0.2"/>
    <row r="923" customFormat="1" ht="12" customHeight="1" x14ac:dyDescent="0.2"/>
    <row r="924" customFormat="1" ht="12" customHeight="1" x14ac:dyDescent="0.2"/>
    <row r="925" customFormat="1" ht="12" customHeight="1" x14ac:dyDescent="0.2"/>
    <row r="926" customFormat="1" ht="12" customHeight="1" x14ac:dyDescent="0.2"/>
    <row r="927" customFormat="1" ht="12" customHeight="1" x14ac:dyDescent="0.2"/>
    <row r="928" customFormat="1" ht="12" customHeight="1" x14ac:dyDescent="0.2"/>
    <row r="929" customFormat="1" ht="12" customHeight="1" x14ac:dyDescent="0.2"/>
    <row r="930" customFormat="1" ht="12" customHeight="1" x14ac:dyDescent="0.2"/>
    <row r="931" customFormat="1" ht="12" customHeight="1" x14ac:dyDescent="0.2"/>
    <row r="932" customFormat="1" ht="12" customHeight="1" x14ac:dyDescent="0.2"/>
    <row r="933" customFormat="1" ht="12" customHeight="1" x14ac:dyDescent="0.2"/>
    <row r="934" customFormat="1" ht="12" customHeight="1" x14ac:dyDescent="0.2"/>
    <row r="935" customFormat="1" ht="12" customHeight="1" x14ac:dyDescent="0.2"/>
    <row r="936" customFormat="1" ht="12" customHeight="1" x14ac:dyDescent="0.2"/>
    <row r="937" customFormat="1" ht="12" customHeight="1" x14ac:dyDescent="0.2"/>
    <row r="938" customFormat="1" ht="12" customHeight="1" x14ac:dyDescent="0.2"/>
    <row r="939" customFormat="1" ht="12" customHeight="1" x14ac:dyDescent="0.2"/>
    <row r="940" customFormat="1" ht="12" customHeight="1" x14ac:dyDescent="0.2"/>
    <row r="941" customFormat="1" ht="12" customHeight="1" x14ac:dyDescent="0.2"/>
    <row r="942" customFormat="1" ht="12" customHeight="1" x14ac:dyDescent="0.2"/>
    <row r="943" customFormat="1" ht="12" customHeight="1" x14ac:dyDescent="0.2"/>
    <row r="944" customFormat="1" ht="12" customHeight="1" x14ac:dyDescent="0.2"/>
    <row r="945" customFormat="1" ht="12" customHeight="1" x14ac:dyDescent="0.2"/>
    <row r="946" customFormat="1" ht="12" customHeight="1" x14ac:dyDescent="0.2"/>
    <row r="947" customFormat="1" ht="12" customHeight="1" x14ac:dyDescent="0.2"/>
    <row r="948" customFormat="1" ht="12" customHeight="1" x14ac:dyDescent="0.2"/>
    <row r="949" customFormat="1" ht="12" customHeight="1" x14ac:dyDescent="0.2"/>
    <row r="950" customFormat="1" ht="12" customHeight="1" x14ac:dyDescent="0.2"/>
    <row r="951" customFormat="1" ht="12" customHeight="1" x14ac:dyDescent="0.2"/>
    <row r="952" customFormat="1" ht="12" customHeight="1" x14ac:dyDescent="0.2"/>
    <row r="953" customFormat="1" ht="12" customHeight="1" x14ac:dyDescent="0.2"/>
    <row r="954" customFormat="1" ht="12" customHeight="1" x14ac:dyDescent="0.2"/>
    <row r="955" customFormat="1" ht="12" customHeight="1" x14ac:dyDescent="0.2"/>
    <row r="956" customFormat="1" ht="12" customHeight="1" x14ac:dyDescent="0.2"/>
    <row r="957" customFormat="1" ht="12" customHeight="1" x14ac:dyDescent="0.2"/>
    <row r="958" customFormat="1" ht="12" customHeight="1" x14ac:dyDescent="0.2"/>
    <row r="959" customFormat="1" ht="12" customHeight="1" x14ac:dyDescent="0.2"/>
    <row r="960" customFormat="1" ht="12" customHeight="1" x14ac:dyDescent="0.2"/>
    <row r="961" customFormat="1" ht="12" customHeight="1" x14ac:dyDescent="0.2"/>
    <row r="962" customFormat="1" ht="12" customHeight="1" x14ac:dyDescent="0.2"/>
    <row r="963" customFormat="1" ht="12" customHeight="1" x14ac:dyDescent="0.2"/>
    <row r="964" customFormat="1" ht="12" customHeight="1" x14ac:dyDescent="0.2"/>
    <row r="965" customFormat="1" ht="12" customHeight="1" x14ac:dyDescent="0.2"/>
    <row r="966" customFormat="1" ht="12" customHeight="1" x14ac:dyDescent="0.2"/>
    <row r="967" customFormat="1" ht="12" customHeight="1" x14ac:dyDescent="0.2"/>
    <row r="968" customFormat="1" ht="12" customHeight="1" x14ac:dyDescent="0.2"/>
    <row r="969" customFormat="1" ht="12" customHeight="1" x14ac:dyDescent="0.2"/>
    <row r="970" customFormat="1" ht="12" customHeight="1" x14ac:dyDescent="0.2"/>
    <row r="971" customFormat="1" ht="12" customHeight="1" x14ac:dyDescent="0.2"/>
    <row r="972" customFormat="1" ht="12" customHeight="1" x14ac:dyDescent="0.2"/>
    <row r="973" customFormat="1" ht="12" customHeight="1" x14ac:dyDescent="0.2"/>
    <row r="974" customFormat="1" ht="12" customHeight="1" x14ac:dyDescent="0.2"/>
    <row r="975" customFormat="1" ht="12" customHeight="1" x14ac:dyDescent="0.2"/>
    <row r="976" customFormat="1" ht="12" customHeight="1" x14ac:dyDescent="0.2"/>
    <row r="977" customFormat="1" ht="12" customHeight="1" x14ac:dyDescent="0.2"/>
    <row r="978" customFormat="1" ht="12" customHeight="1" x14ac:dyDescent="0.2"/>
    <row r="979" customFormat="1" ht="12" customHeight="1" x14ac:dyDescent="0.2"/>
    <row r="980" customFormat="1" ht="12" customHeight="1" x14ac:dyDescent="0.2"/>
    <row r="981" customFormat="1" ht="12" customHeight="1" x14ac:dyDescent="0.2"/>
    <row r="982" customFormat="1" ht="12" customHeight="1" x14ac:dyDescent="0.2"/>
    <row r="983" customFormat="1" ht="12" customHeight="1" x14ac:dyDescent="0.2"/>
    <row r="984" customFormat="1" ht="12" customHeight="1" x14ac:dyDescent="0.2"/>
    <row r="985" customFormat="1" ht="12" customHeight="1" x14ac:dyDescent="0.2"/>
    <row r="986" customFormat="1" ht="12" customHeight="1" x14ac:dyDescent="0.2"/>
    <row r="987" customFormat="1" ht="12" customHeight="1" x14ac:dyDescent="0.2"/>
    <row r="988" customFormat="1" ht="12" customHeight="1" x14ac:dyDescent="0.2"/>
    <row r="989" customFormat="1" ht="12" customHeight="1" x14ac:dyDescent="0.2"/>
    <row r="990" customFormat="1" ht="12" customHeight="1" x14ac:dyDescent="0.2"/>
    <row r="991" customFormat="1" ht="12" customHeight="1" x14ac:dyDescent="0.2"/>
    <row r="992" customFormat="1" ht="12" customHeight="1" x14ac:dyDescent="0.2"/>
    <row r="993" customFormat="1" ht="12" customHeight="1" x14ac:dyDescent="0.2"/>
    <row r="994" customFormat="1" ht="12" customHeight="1" x14ac:dyDescent="0.2"/>
    <row r="995" customFormat="1" ht="12" customHeight="1" x14ac:dyDescent="0.2"/>
    <row r="996" customFormat="1" ht="12" customHeight="1" x14ac:dyDescent="0.2"/>
    <row r="997" customFormat="1" ht="12" customHeight="1" x14ac:dyDescent="0.2"/>
    <row r="998" customFormat="1" ht="12" customHeight="1" x14ac:dyDescent="0.2"/>
    <row r="999" customFormat="1" ht="12" customHeight="1" x14ac:dyDescent="0.2"/>
    <row r="1000" customFormat="1" ht="12" customHeight="1" x14ac:dyDescent="0.2"/>
  </sheetData>
  <sheetProtection algorithmName="SHA-512" hashValue="aoFN60nnCLYIwLmzpU7YivhS6cBrIdMRSj8V4C+7HRXp/iLfGCzCxJPAW5aLrCz1YtTjX3UOTFShH+Npl6UqAg==" saltValue="bp/tgL7hnZlTTwF/Jj/dhA==" spinCount="100000" sheet="1" objects="1" scenarios="1" selectLockedCells="1"/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Continuation</vt:lpstr>
      <vt:lpstr>Calculations</vt:lpstr>
      <vt:lpstr>Rental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Plis, Matthew N</dc:creator>
  <cp:lastModifiedBy>Murray, Keenan M</cp:lastModifiedBy>
  <dcterms:created xsi:type="dcterms:W3CDTF">2020-11-13T15:15:54Z</dcterms:created>
  <dcterms:modified xsi:type="dcterms:W3CDTF">2023-11-09T22:38:51Z</dcterms:modified>
</cp:coreProperties>
</file>